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2.xml" ContentType="application/vnd.openxmlformats-officedocument.drawing+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02"/>
  <workbookPr/>
  <mc:AlternateContent xmlns:mc="http://schemas.openxmlformats.org/markup-compatibility/2006">
    <mc:Choice Requires="x15">
      <x15ac:absPath xmlns:x15ac="http://schemas.microsoft.com/office/spreadsheetml/2010/11/ac" url="/Users/jimmcconnell/Desktop/"/>
    </mc:Choice>
  </mc:AlternateContent>
  <xr:revisionPtr revIDLastSave="0" documentId="8_{1C4549C9-F8C5-9E47-9D00-E5098B270CF1}" xr6:coauthVersionLast="47" xr6:coauthVersionMax="47" xr10:uidLastSave="{00000000-0000-0000-0000-000000000000}"/>
  <bookViews>
    <workbookView xWindow="0" yWindow="660" windowWidth="29400" windowHeight="16720" activeTab="2" xr2:uid="{00000000-000D-0000-FFFF-FFFF00000000}"/>
  </bookViews>
  <sheets>
    <sheet name="Instructions" sheetId="1" r:id="rId1"/>
    <sheet name="Dashboard" sheetId="2" r:id="rId2"/>
    <sheet name="Cover &amp; Scope" sheetId="3" r:id="rId3"/>
    <sheet name="Assessment" sheetId="4" r:id="rId4"/>
    <sheet name="Backup Controls Matrix" sheetId="5" r:id="rId5"/>
    <sheet name="Score History" sheetId="6" r:id="rId6"/>
    <sheet name="_Calc" sheetId="7" state="hidden" r:id="rId7"/>
  </sheets>
  <definedNames>
    <definedName name="_xlnm._FilterDatabase" localSheetId="3" hidden="1">Assessment!$A$5:$I$109</definedName>
    <definedName name="AssessmentDate">'Cover &amp; Scope'!$C$8</definedName>
    <definedName name="InstitutionName">'Cover &amp; Scope'!$C$5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4" i="5" l="1"/>
  <c r="C15" i="7"/>
  <c r="E15" i="7" s="1"/>
  <c r="F5" i="2" s="1"/>
  <c r="D14" i="7"/>
  <c r="C14" i="7"/>
  <c r="I11" i="7"/>
  <c r="G25" i="2" s="1"/>
  <c r="H11" i="7"/>
  <c r="F25" i="2" s="1"/>
  <c r="G11" i="7"/>
  <c r="E25" i="2" s="1"/>
  <c r="F11" i="7"/>
  <c r="D25" i="2" s="1"/>
  <c r="I10" i="7"/>
  <c r="G24" i="2" s="1"/>
  <c r="H10" i="7"/>
  <c r="G10" i="7"/>
  <c r="F10" i="7"/>
  <c r="D24" i="2" s="1"/>
  <c r="I9" i="7"/>
  <c r="G23" i="2" s="1"/>
  <c r="H9" i="7"/>
  <c r="F23" i="2" s="1"/>
  <c r="G9" i="7"/>
  <c r="E23" i="2" s="1"/>
  <c r="F9" i="7"/>
  <c r="D23" i="2" s="1"/>
  <c r="I8" i="7"/>
  <c r="G22" i="2" s="1"/>
  <c r="H8" i="7"/>
  <c r="F22" i="2" s="1"/>
  <c r="G8" i="7"/>
  <c r="F8" i="7"/>
  <c r="I7" i="7"/>
  <c r="G21" i="2" s="1"/>
  <c r="H7" i="7"/>
  <c r="F21" i="2" s="1"/>
  <c r="G7" i="7"/>
  <c r="E21" i="2" s="1"/>
  <c r="F7" i="7"/>
  <c r="D21" i="2" s="1"/>
  <c r="I6" i="7"/>
  <c r="G20" i="2" s="1"/>
  <c r="H6" i="7"/>
  <c r="G6" i="7"/>
  <c r="F6" i="7"/>
  <c r="I5" i="7"/>
  <c r="G16" i="2" s="1"/>
  <c r="H5" i="7"/>
  <c r="F16" i="2" s="1"/>
  <c r="G5" i="7"/>
  <c r="E16" i="2" s="1"/>
  <c r="F5" i="7"/>
  <c r="D16" i="2" s="1"/>
  <c r="I4" i="7"/>
  <c r="G15" i="2" s="1"/>
  <c r="H4" i="7"/>
  <c r="G4" i="7"/>
  <c r="F4" i="7"/>
  <c r="D15" i="2" s="1"/>
  <c r="I3" i="7"/>
  <c r="G14" i="2" s="1"/>
  <c r="H3" i="7"/>
  <c r="F14" i="2" s="1"/>
  <c r="G3" i="7"/>
  <c r="E14" i="2" s="1"/>
  <c r="F3" i="7"/>
  <c r="D14" i="2" s="1"/>
  <c r="I2" i="7"/>
  <c r="G13" i="2" s="1"/>
  <c r="H2" i="7"/>
  <c r="F13" i="2" s="1"/>
  <c r="G2" i="7"/>
  <c r="F2" i="7"/>
  <c r="C5" i="6"/>
  <c r="B5" i="6"/>
  <c r="M14" i="5"/>
  <c r="L14" i="5"/>
  <c r="K14" i="5"/>
  <c r="J14" i="5"/>
  <c r="I14" i="5"/>
  <c r="G14" i="5"/>
  <c r="F14" i="5"/>
  <c r="E14" i="5"/>
  <c r="D14" i="5"/>
  <c r="C14" i="5"/>
  <c r="M13" i="5"/>
  <c r="M12" i="5"/>
  <c r="M11" i="5"/>
  <c r="M10" i="5"/>
  <c r="M9" i="5"/>
  <c r="M8" i="5"/>
  <c r="M7" i="5"/>
  <c r="M6" i="5"/>
  <c r="J109" i="4"/>
  <c r="H109" i="4"/>
  <c r="G109" i="4"/>
  <c r="J108" i="4"/>
  <c r="H108" i="4"/>
  <c r="G108" i="4"/>
  <c r="J107" i="4"/>
  <c r="H107" i="4"/>
  <c r="G107" i="4"/>
  <c r="J106" i="4"/>
  <c r="H106" i="4"/>
  <c r="G106" i="4"/>
  <c r="J105" i="4"/>
  <c r="H105" i="4"/>
  <c r="G105" i="4"/>
  <c r="C5" i="7" s="1"/>
  <c r="J104" i="4"/>
  <c r="H104" i="4"/>
  <c r="G104" i="4"/>
  <c r="J103" i="4"/>
  <c r="H103" i="4"/>
  <c r="G103" i="4"/>
  <c r="J102" i="4"/>
  <c r="H102" i="4"/>
  <c r="G102" i="4"/>
  <c r="J101" i="4"/>
  <c r="H101" i="4"/>
  <c r="G101" i="4"/>
  <c r="J100" i="4"/>
  <c r="H100" i="4"/>
  <c r="G100" i="4"/>
  <c r="J99" i="4"/>
  <c r="H99" i="4"/>
  <c r="G99" i="4"/>
  <c r="J98" i="4"/>
  <c r="H98" i="4"/>
  <c r="G98" i="4"/>
  <c r="J97" i="4"/>
  <c r="H97" i="4"/>
  <c r="G97" i="4"/>
  <c r="J96" i="4"/>
  <c r="H96" i="4"/>
  <c r="G96" i="4"/>
  <c r="J95" i="4"/>
  <c r="H95" i="4"/>
  <c r="G95" i="4"/>
  <c r="J94" i="4"/>
  <c r="H94" i="4"/>
  <c r="D11" i="7" s="1"/>
  <c r="G94" i="4"/>
  <c r="C11" i="7" s="1"/>
  <c r="J93" i="4"/>
  <c r="H93" i="4"/>
  <c r="G93" i="4"/>
  <c r="J92" i="4"/>
  <c r="H92" i="4"/>
  <c r="G92" i="4"/>
  <c r="J91" i="4"/>
  <c r="H91" i="4"/>
  <c r="G91" i="4"/>
  <c r="J90" i="4"/>
  <c r="H90" i="4"/>
  <c r="G90" i="4"/>
  <c r="J89" i="4"/>
  <c r="H89" i="4"/>
  <c r="G89" i="4"/>
  <c r="J88" i="4"/>
  <c r="H88" i="4"/>
  <c r="G88" i="4"/>
  <c r="J87" i="4"/>
  <c r="H87" i="4"/>
  <c r="G87" i="4"/>
  <c r="J86" i="4"/>
  <c r="H86" i="4"/>
  <c r="G86" i="4"/>
  <c r="J85" i="4"/>
  <c r="H85" i="4"/>
  <c r="G85" i="4"/>
  <c r="J84" i="4"/>
  <c r="H84" i="4"/>
  <c r="G84" i="4"/>
  <c r="J83" i="4"/>
  <c r="H83" i="4"/>
  <c r="G83" i="4"/>
  <c r="J82" i="4"/>
  <c r="H82" i="4"/>
  <c r="G82" i="4"/>
  <c r="J81" i="4"/>
  <c r="H81" i="4"/>
  <c r="G81" i="4"/>
  <c r="J80" i="4"/>
  <c r="H80" i="4"/>
  <c r="G80" i="4"/>
  <c r="J79" i="4"/>
  <c r="H79" i="4"/>
  <c r="G79" i="4"/>
  <c r="J78" i="4"/>
  <c r="H78" i="4"/>
  <c r="G78" i="4"/>
  <c r="J77" i="4"/>
  <c r="H77" i="4"/>
  <c r="G77" i="4"/>
  <c r="J76" i="4"/>
  <c r="H76" i="4"/>
  <c r="G76" i="4"/>
  <c r="J75" i="4"/>
  <c r="H75" i="4"/>
  <c r="G75" i="4"/>
  <c r="J74" i="4"/>
  <c r="H74" i="4"/>
  <c r="G74" i="4"/>
  <c r="J73" i="4"/>
  <c r="H73" i="4"/>
  <c r="D3" i="7" s="1"/>
  <c r="G73" i="4"/>
  <c r="J72" i="4"/>
  <c r="H72" i="4"/>
  <c r="G72" i="4"/>
  <c r="J71" i="4"/>
  <c r="H71" i="4"/>
  <c r="G71" i="4"/>
  <c r="J70" i="4"/>
  <c r="H70" i="4"/>
  <c r="G70" i="4"/>
  <c r="C10" i="7" s="1"/>
  <c r="J69" i="4"/>
  <c r="H69" i="4"/>
  <c r="G69" i="4"/>
  <c r="J68" i="4"/>
  <c r="H68" i="4"/>
  <c r="G68" i="4"/>
  <c r="J67" i="4"/>
  <c r="H67" i="4"/>
  <c r="G67" i="4"/>
  <c r="J66" i="4"/>
  <c r="H66" i="4"/>
  <c r="G66" i="4"/>
  <c r="J65" i="4"/>
  <c r="H65" i="4"/>
  <c r="G65" i="4"/>
  <c r="J64" i="4"/>
  <c r="H64" i="4"/>
  <c r="G64" i="4"/>
  <c r="J63" i="4"/>
  <c r="H63" i="4"/>
  <c r="G63" i="4"/>
  <c r="J62" i="4"/>
  <c r="H62" i="4"/>
  <c r="G62" i="4"/>
  <c r="J61" i="4"/>
  <c r="H61" i="4"/>
  <c r="G61" i="4"/>
  <c r="J60" i="4"/>
  <c r="H60" i="4"/>
  <c r="G60" i="4"/>
  <c r="J59" i="4"/>
  <c r="H59" i="4"/>
  <c r="G59" i="4"/>
  <c r="J58" i="4"/>
  <c r="H58" i="4"/>
  <c r="G58" i="4"/>
  <c r="J57" i="4"/>
  <c r="H57" i="4"/>
  <c r="G57" i="4"/>
  <c r="J56" i="4"/>
  <c r="H56" i="4"/>
  <c r="G56" i="4"/>
  <c r="J55" i="4"/>
  <c r="H55" i="4"/>
  <c r="G55" i="4"/>
  <c r="J54" i="4"/>
  <c r="H54" i="4"/>
  <c r="G54" i="4"/>
  <c r="J53" i="4"/>
  <c r="H53" i="4"/>
  <c r="G53" i="4"/>
  <c r="J52" i="4"/>
  <c r="H52" i="4"/>
  <c r="G52" i="4"/>
  <c r="J51" i="4"/>
  <c r="H51" i="4"/>
  <c r="G51" i="4"/>
  <c r="J50" i="4"/>
  <c r="H50" i="4"/>
  <c r="G50" i="4"/>
  <c r="J49" i="4"/>
  <c r="H49" i="4"/>
  <c r="G49" i="4"/>
  <c r="J48" i="4"/>
  <c r="H48" i="4"/>
  <c r="G48" i="4"/>
  <c r="J47" i="4"/>
  <c r="H47" i="4"/>
  <c r="G47" i="4"/>
  <c r="J46" i="4"/>
  <c r="H46" i="4"/>
  <c r="G46" i="4"/>
  <c r="J45" i="4"/>
  <c r="H45" i="4"/>
  <c r="G45" i="4"/>
  <c r="J44" i="4"/>
  <c r="H44" i="4"/>
  <c r="G44" i="4"/>
  <c r="J43" i="4"/>
  <c r="H43" i="4"/>
  <c r="G43" i="4"/>
  <c r="J42" i="4"/>
  <c r="H42" i="4"/>
  <c r="G42" i="4"/>
  <c r="J41" i="4"/>
  <c r="H41" i="4"/>
  <c r="G41" i="4"/>
  <c r="J40" i="4"/>
  <c r="H40" i="4"/>
  <c r="G40" i="4"/>
  <c r="J39" i="4"/>
  <c r="H39" i="4"/>
  <c r="G39" i="4"/>
  <c r="J38" i="4"/>
  <c r="H38" i="4"/>
  <c r="G38" i="4"/>
  <c r="J37" i="4"/>
  <c r="H37" i="4"/>
  <c r="G37" i="4"/>
  <c r="J36" i="4"/>
  <c r="H36" i="4"/>
  <c r="G36" i="4"/>
  <c r="J35" i="4"/>
  <c r="H35" i="4"/>
  <c r="G35" i="4"/>
  <c r="J34" i="4"/>
  <c r="H34" i="4"/>
  <c r="G34" i="4"/>
  <c r="C7" i="7" s="1"/>
  <c r="J33" i="4"/>
  <c r="H33" i="4"/>
  <c r="G33" i="4"/>
  <c r="J32" i="4"/>
  <c r="H32" i="4"/>
  <c r="G32" i="4"/>
  <c r="J31" i="4"/>
  <c r="H31" i="4"/>
  <c r="G31" i="4"/>
  <c r="J30" i="4"/>
  <c r="H30" i="4"/>
  <c r="G30" i="4"/>
  <c r="J29" i="4"/>
  <c r="H29" i="4"/>
  <c r="G29" i="4"/>
  <c r="J28" i="4"/>
  <c r="H28" i="4"/>
  <c r="G28" i="4"/>
  <c r="J27" i="4"/>
  <c r="H27" i="4"/>
  <c r="G27" i="4"/>
  <c r="J26" i="4"/>
  <c r="H26" i="4"/>
  <c r="G26" i="4"/>
  <c r="J25" i="4"/>
  <c r="H25" i="4"/>
  <c r="G25" i="4"/>
  <c r="J24" i="4"/>
  <c r="H24" i="4"/>
  <c r="G24" i="4"/>
  <c r="J23" i="4"/>
  <c r="H23" i="4"/>
  <c r="G23" i="4"/>
  <c r="J22" i="4"/>
  <c r="H22" i="4"/>
  <c r="G22" i="4"/>
  <c r="J21" i="4"/>
  <c r="H21" i="4"/>
  <c r="G21" i="4"/>
  <c r="J20" i="4"/>
  <c r="H20" i="4"/>
  <c r="G20" i="4"/>
  <c r="J19" i="4"/>
  <c r="H19" i="4"/>
  <c r="G19" i="4"/>
  <c r="J18" i="4"/>
  <c r="H18" i="4"/>
  <c r="G18" i="4"/>
  <c r="J17" i="4"/>
  <c r="H17" i="4"/>
  <c r="G17" i="4"/>
  <c r="J16" i="4"/>
  <c r="H16" i="4"/>
  <c r="G16" i="4"/>
  <c r="J15" i="4"/>
  <c r="H15" i="4"/>
  <c r="G15" i="4"/>
  <c r="J14" i="4"/>
  <c r="H14" i="4"/>
  <c r="G14" i="4"/>
  <c r="J13" i="4"/>
  <c r="H13" i="4"/>
  <c r="G13" i="4"/>
  <c r="J12" i="4"/>
  <c r="H12" i="4"/>
  <c r="G12" i="4"/>
  <c r="J11" i="4"/>
  <c r="H11" i="4"/>
  <c r="G11" i="4"/>
  <c r="J10" i="4"/>
  <c r="H10" i="4"/>
  <c r="G10" i="4"/>
  <c r="J9" i="4"/>
  <c r="H9" i="4"/>
  <c r="G9" i="4"/>
  <c r="J8" i="4"/>
  <c r="H8" i="4"/>
  <c r="G8" i="4"/>
  <c r="J7" i="4"/>
  <c r="H7" i="4"/>
  <c r="G7" i="4"/>
  <c r="C6" i="7" s="1"/>
  <c r="J6" i="4"/>
  <c r="H6" i="4"/>
  <c r="G6" i="4"/>
  <c r="C26" i="3"/>
  <c r="F24" i="2"/>
  <c r="E24" i="2"/>
  <c r="E22" i="2"/>
  <c r="D22" i="2"/>
  <c r="F20" i="2"/>
  <c r="E20" i="2"/>
  <c r="D20" i="2"/>
  <c r="F15" i="2"/>
  <c r="E15" i="2"/>
  <c r="E13" i="2"/>
  <c r="D13" i="2"/>
  <c r="B2" i="2"/>
  <c r="E14" i="7" l="1"/>
  <c r="D5" i="7"/>
  <c r="C4" i="7"/>
  <c r="D10" i="7"/>
  <c r="D4" i="7"/>
  <c r="E4" i="7" s="1"/>
  <c r="G5" i="6" s="1"/>
  <c r="D9" i="7"/>
  <c r="C3" i="7"/>
  <c r="E3" i="7" s="1"/>
  <c r="C9" i="7"/>
  <c r="E9" i="7" s="1"/>
  <c r="C23" i="2" s="1"/>
  <c r="C2" i="7"/>
  <c r="D12" i="7"/>
  <c r="D7" i="7"/>
  <c r="E7" i="7" s="1"/>
  <c r="C21" i="2" s="1"/>
  <c r="D2" i="7"/>
  <c r="E32" i="2"/>
  <c r="E34" i="2"/>
  <c r="D6" i="7"/>
  <c r="E6" i="7" s="1"/>
  <c r="E38" i="2"/>
  <c r="E40" i="2"/>
  <c r="E44" i="2"/>
  <c r="E30" i="2"/>
  <c r="E36" i="2"/>
  <c r="E42" i="2"/>
  <c r="D44" i="2"/>
  <c r="E5" i="7"/>
  <c r="J5" i="6"/>
  <c r="H5" i="2"/>
  <c r="E10" i="7"/>
  <c r="C24" i="2" s="1"/>
  <c r="E11" i="7"/>
  <c r="C25" i="2" s="1"/>
  <c r="C13" i="7"/>
  <c r="C8" i="7"/>
  <c r="D13" i="7"/>
  <c r="F32" i="2"/>
  <c r="F34" i="2"/>
  <c r="F36" i="2"/>
  <c r="F38" i="2"/>
  <c r="F40" i="2"/>
  <c r="F42" i="2"/>
  <c r="F44" i="2"/>
  <c r="C31" i="2"/>
  <c r="C33" i="2"/>
  <c r="C35" i="2"/>
  <c r="C37" i="2"/>
  <c r="C39" i="2"/>
  <c r="C41" i="2"/>
  <c r="C43" i="2"/>
  <c r="D8" i="7"/>
  <c r="D31" i="2"/>
  <c r="D43" i="2"/>
  <c r="E31" i="2"/>
  <c r="E33" i="2"/>
  <c r="E35" i="2"/>
  <c r="E37" i="2"/>
  <c r="E39" i="2"/>
  <c r="E41" i="2"/>
  <c r="E43" i="2"/>
  <c r="F30" i="2"/>
  <c r="D33" i="2"/>
  <c r="D35" i="2"/>
  <c r="D37" i="2"/>
  <c r="D39" i="2"/>
  <c r="D41" i="2"/>
  <c r="F31" i="2"/>
  <c r="F33" i="2"/>
  <c r="F35" i="2"/>
  <c r="F37" i="2"/>
  <c r="F39" i="2"/>
  <c r="F41" i="2"/>
  <c r="F43" i="2"/>
  <c r="C12" i="7"/>
  <c r="C30" i="2"/>
  <c r="C32" i="2"/>
  <c r="C34" i="2"/>
  <c r="C36" i="2"/>
  <c r="C38" i="2"/>
  <c r="C40" i="2"/>
  <c r="C42" i="2"/>
  <c r="C44" i="2"/>
  <c r="D30" i="2"/>
  <c r="D32" i="2"/>
  <c r="D34" i="2"/>
  <c r="D36" i="2"/>
  <c r="D38" i="2"/>
  <c r="D40" i="2"/>
  <c r="D42" i="2"/>
  <c r="C15" i="2" l="1"/>
  <c r="E2" i="7"/>
  <c r="C13" i="2" s="1"/>
  <c r="E12" i="7"/>
  <c r="D5" i="2" s="1"/>
  <c r="E13" i="7"/>
  <c r="C20" i="2"/>
  <c r="I5" i="6"/>
  <c r="E8" i="7"/>
  <c r="C22" i="2" s="1"/>
  <c r="C14" i="2"/>
  <c r="F5" i="6"/>
  <c r="C16" i="2"/>
  <c r="H5" i="6"/>
  <c r="E5" i="6" l="1"/>
  <c r="D5" i="6"/>
  <c r="B5" i="2"/>
</calcChain>
</file>

<file path=xl/sharedStrings.xml><?xml version="1.0" encoding="utf-8"?>
<sst xmlns="http://schemas.openxmlformats.org/spreadsheetml/2006/main" count="801" uniqueCount="291">
  <si>
    <t>Ransomware Self-Assessment Tool (R-SAT) — Scoring Workbook</t>
  </si>
  <si>
    <t>Based on R-SAT v2.0 (Oct 24, 2023) — Bankers Electronic Crimes Task Force, State Bank Regulators, U.S. Secret Service</t>
  </si>
  <si>
    <t>Purpose</t>
  </si>
  <si>
    <t>This workbook converts the CSBS/BECTF Ransomware Self-Assessment Tool (R-SAT v2.0) into a scored, dashboard-ready format for periodic board / risk committee reporting. Every question and checklist item in the source R-SAT is represented as an individually scorable control on the Assessment tab, plus a dedicated matrix for the backup/recovery controls in Question 12 and Appendix A. The Dashboard tab rolls scores up by R-SAT function (Identify/Protect, Detect, Respond, Recover) and by Cyber Risk Institute (CRI) Profile function, so results can be discussed in either lens.</t>
  </si>
  <si>
    <t>How to Use This Workbook</t>
  </si>
  <si>
    <t>1. Cover &amp; Scope</t>
  </si>
  <si>
    <t>Enter institution name, preparer, and assessment date. Complete the service delivery inventory (in-house / outsourced / cloud) — this is context, not scored.</t>
  </si>
  <si>
    <t>2. Assessment tab</t>
  </si>
  <si>
    <t>For each control, select a Response from the dropdown: Yes (fully implemented), Partial (in progress / partially implemented), No (not implemented), or N/A (not applicable to this institution). Use the Notes column to capture evidence, exceptions, or the vendor/system in question.</t>
  </si>
  <si>
    <t>3. Backup Controls Matrix</t>
  </si>
  <si>
    <t>Score the 8 backup-resilience controls (from R-SAT Question 12 and Appendix A) separately for each critical service line — Core Processing, Network Admin, Email, etc. Leave a cell N/A if that service line doesn't apply.</t>
  </si>
  <si>
    <t>4. Dashboard</t>
  </si>
  <si>
    <t>Scores calculate automatically. Review the overall maturity score, the function-level breakdown, and the auto-generated gap list (lowest-scored controls) ahead of your risk committee update.</t>
  </si>
  <si>
    <t>5. Score History</t>
  </si>
  <si>
    <t>After each assessment cycle (per your 1-2x/year cadence), copy the current Dashboard totals as values into a new dated row on the Score History tab to build a trend line over time.</t>
  </si>
  <si>
    <t>Scoring Legend</t>
  </si>
  <si>
    <t>Response</t>
  </si>
  <si>
    <t>Points</t>
  </si>
  <si>
    <t>Definition</t>
  </si>
  <si>
    <t>Yes</t>
  </si>
  <si>
    <t>2 pts</t>
  </si>
  <si>
    <t>Control is fully implemented institution-wide.</t>
  </si>
  <si>
    <t>Partial</t>
  </si>
  <si>
    <t>1 pt</t>
  </si>
  <si>
    <t>Control is partially implemented, in progress, or inconsistently applied.</t>
  </si>
  <si>
    <t>No</t>
  </si>
  <si>
    <t>0 pts</t>
  </si>
  <si>
    <t>Control is not implemented.</t>
  </si>
  <si>
    <t>N/A</t>
  </si>
  <si>
    <t>excluded</t>
  </si>
  <si>
    <t>Not applicable to this institution's environment; excluded from the scoring denominator.</t>
  </si>
  <si>
    <t>Maturity Bands (workbook-defined)</t>
  </si>
  <si>
    <t>These bands are a simple internal reference scale defined for this workbook — they are NOT an official CSBS, FFIEC, or CRI rating. Use them only to communicate relative posture to the board / risk committee.</t>
  </si>
  <si>
    <t>90-100%</t>
  </si>
  <si>
    <t>Optimized — Strong Preparedness</t>
  </si>
  <si>
    <t>75-89%</t>
  </si>
  <si>
    <t>Managed — Adequate Preparedness</t>
  </si>
  <si>
    <t>50-74%</t>
  </si>
  <si>
    <t>Developing — Emerging Gaps</t>
  </si>
  <si>
    <t>Below 50%</t>
  </si>
  <si>
    <t>Initial — Significant Gaps</t>
  </si>
  <si>
    <t>CRI Profile Mapping — Important Caveat</t>
  </si>
  <si>
    <t>Each control is tagged with a CRI Profile / NIST CSF 2.0 Function (Govern, Identify, Protect, Detect, Respond, Recover) to help align R-SAT results with an institution's broader CRI Profile or NIST CSF program. This is a directional, Function-level mapping based on the nature of each control — it is NOT an official CRI Profile crosswalk and does not cite specific CRI diagnostic statement IDs. For formal regulatory or examination alignment, cross-reference against the current published CRI Profile document.</t>
  </si>
  <si>
    <t>Source &amp; Credit</t>
  </si>
  <si>
    <t>All questions and controls in this workbook are drawn directly from the original R-SAT — full credit for the assessment content belongs to its authors:</t>
  </si>
  <si>
    <t>“Ransomware Self-Assessment Tool (R-SAT), Version 2.0, October 24, 2023 — developed in collaboration with the Bankers Electronic Crimes Task Force, State Bank Regulators, and the United States Secret Service.”  (www.csbs.org | www.secretservice.gov)</t>
  </si>
  <si>
    <t>Excel scoring workbook, dashboard, and CRI Profile mapping developed by Jim McConnell and Ask McConnell, LLC, with Claude (Anthropic).</t>
  </si>
  <si>
    <t>Ransomware Preparedness Dashboard</t>
  </si>
  <si>
    <t>OVERALL PROGRAM SCORE</t>
  </si>
  <si>
    <t>MATURITY BAND</t>
  </si>
  <si>
    <t>ASSESSMENT COMPLETION</t>
  </si>
  <si>
    <t>BACKUP &amp; RECOVERY RESILIENCE</t>
  </si>
  <si>
    <t>Score by R-SAT Function  (Identify/Protect, Detect, Respond, Recover)</t>
  </si>
  <si>
    <t>Function</t>
  </si>
  <si>
    <t>Score %</t>
  </si>
  <si>
    <t>Identify/Protect</t>
  </si>
  <si>
    <t>Detect</t>
  </si>
  <si>
    <t>Respond</t>
  </si>
  <si>
    <t>Recover</t>
  </si>
  <si>
    <t>Score by CRI Profile Function  (Govern, Identify, Protect, Detect, Respond, Recover)</t>
  </si>
  <si>
    <t>Govern</t>
  </si>
  <si>
    <t>Identify</t>
  </si>
  <si>
    <t>Protect</t>
  </si>
  <si>
    <t>Top Gaps — Controls Scored “No”  (auto-generated; prioritize for remediation)</t>
  </si>
  <si>
    <t>#</t>
  </si>
  <si>
    <t>Q#</t>
  </si>
  <si>
    <t>R-SAT Function</t>
  </si>
  <si>
    <t>CRI Function</t>
  </si>
  <si>
    <t>Control / Question</t>
  </si>
  <si>
    <t>Notes for the Risk Committee</t>
  </si>
  <si>
    <t>Use this space to summarize key changes since the last assessment, remediation timelines for the gaps above, and any items requiring board decision (e.g., budget for MFA expansion, backup immutability, cyber insurance renewal).</t>
  </si>
  <si>
    <t>Assessment content based on “Ransomware Self-Assessment Tool (R-SAT), Version 2.0, October 24, 2023 — developed in collaboration with the Bankers Electronic Crimes Task Force, State Bank Regulators, and the United States Secret Service.” (www.csbs.org). Workbook developed by Jim McConnell and Ask McConnell, LLC, with Claude (Anthropic). See Instructions tab for full source &amp; scoring notes.</t>
  </si>
  <si>
    <t>R-SAT Assessment — Cover Sheet</t>
  </si>
  <si>
    <t>Preparer Information</t>
  </si>
  <si>
    <t>Institution Name:</t>
  </si>
  <si>
    <t>Preparer Name and Title:</t>
  </si>
  <si>
    <t>Preparer Email and Phone:</t>
  </si>
  <si>
    <t>Date Completed:</t>
  </si>
  <si>
    <t>Date Reviewed by Board:</t>
  </si>
  <si>
    <t>Assessment Period:</t>
  </si>
  <si>
    <t>Service Delivery Model  (R-SAT Question 4 — context, not scored)</t>
  </si>
  <si>
    <t>Indicate how each critical system or activity is delivered. This informs third-party / concentration risk context for the dashboard (e.g., number of critical services outsourced or cloud-based) but is not itself scored as a control.</t>
  </si>
  <si>
    <t>Service / Activity</t>
  </si>
  <si>
    <t>In-House</t>
  </si>
  <si>
    <t>Outsourced</t>
  </si>
  <si>
    <t>Cloud-Based</t>
  </si>
  <si>
    <t>Core Processing</t>
  </si>
  <si>
    <t>X</t>
  </si>
  <si>
    <t>Network Administration</t>
  </si>
  <si>
    <t>Email Service</t>
  </si>
  <si>
    <t>File Imaging (Checks, Loans, etc.)</t>
  </si>
  <si>
    <t>Trust Services</t>
  </si>
  <si>
    <t>Mortgage Loans</t>
  </si>
  <si>
    <t>Investments (Bonds, Stocks, etc.)</t>
  </si>
  <si>
    <t>Other Critical Service 1</t>
  </si>
  <si>
    <t>Other Critical Service 2</t>
  </si>
  <si>
    <t>Other Critical Service 3</t>
  </si>
  <si>
    <t>Critical services Outsourced or Cloud-Based:</t>
  </si>
  <si>
    <t>Data Location &amp; Third-Party Remote Access — Narrative (R-SAT Q5-Q6 context)</t>
  </si>
  <si>
    <t>Locations (if any) where data is housed outside the United States:</t>
  </si>
  <si>
    <t>Third-party / MSP remote access methods in use (VPN, remote scripting, screen sharing, etc.):</t>
  </si>
  <si>
    <t>Vendors identified WITHOUT ransomware-prevention controls on their remote access (if any):</t>
  </si>
  <si>
    <t>R-SAT Assessment — Control Scoring</t>
  </si>
  <si>
    <t>Institution:</t>
  </si>
  <si>
    <t>Select a Response for every applicable control. Leave N/A for controls that do not apply to this institution.</t>
  </si>
  <si>
    <t>ID</t>
  </si>
  <si>
    <t>Score</t>
  </si>
  <si>
    <t>Max</t>
  </si>
  <si>
    <t>Notes / Evidence</t>
  </si>
  <si>
    <t>Q1</t>
  </si>
  <si>
    <t>Institution has implemented a comprehensive set of controls designed to mitigate cyber-attacks (e.g., FFIEC CAT, CIS Critical Security Controls, NIST CSF).</t>
  </si>
  <si>
    <t>Institution utilizes one or more recognized cybersecurity frameworks to guide control implementation — AICPA SOC.</t>
  </si>
  <si>
    <t>Framework in use — CIS Critical Security Controls.</t>
  </si>
  <si>
    <t>Framework in use — COBIT.</t>
  </si>
  <si>
    <t>Framework in use — CRI Profile.</t>
  </si>
  <si>
    <t>Framework in use — FFIEC CAT.</t>
  </si>
  <si>
    <t>Framework in use — ISO.</t>
  </si>
  <si>
    <t>Framework in use — NIST Cybersecurity Framework.</t>
  </si>
  <si>
    <t>Framework in use — PCI DSS.</t>
  </si>
  <si>
    <t>Q2</t>
  </si>
  <si>
    <t>A gap analysis has been performed to identify controls recommended by the institution's standards/frameworks that have not been implemented.</t>
  </si>
  <si>
    <t>The gap analysis has been reviewed by the board, senior management, and (if applicable) the technology committee.</t>
  </si>
  <si>
    <t>Q3</t>
  </si>
  <si>
    <t>Institution has a cyber insurance policy that includes ransomware coverage.</t>
  </si>
  <si>
    <t>Insurance coverage includes: data retention services.</t>
  </si>
  <si>
    <t>Insurance coverage includes: breach response.</t>
  </si>
  <si>
    <t>Insurance coverage includes: cyber extortion assistance.</t>
  </si>
  <si>
    <t>Insurance coverage includes: data loss / hardware replacement.</t>
  </si>
  <si>
    <t>Insurance coverage includes: third-party coverage.</t>
  </si>
  <si>
    <t>Insurance coverage includes: regulatory penalties assistance.</t>
  </si>
  <si>
    <t>Insurance coverage includes: legal expenses.</t>
  </si>
  <si>
    <t>Insurance coverage includes: forensic services.</t>
  </si>
  <si>
    <t>Insurance coverage includes: negotiating/facilitating ransom payments.</t>
  </si>
  <si>
    <t>Insurance coverage includes: customer notification assistance.</t>
  </si>
  <si>
    <t>Insurance coverage includes: customer call center services.</t>
  </si>
  <si>
    <t>Insurance coverage includes: management of public relations.</t>
  </si>
  <si>
    <t>Insurance coverage includes: customer credit monitoring.</t>
  </si>
  <si>
    <t>Q5</t>
  </si>
  <si>
    <t>If data is housed outside the United States, management has discussed applicable foreign privacy regulations (e.g., GDPR, PIPEDA).</t>
  </si>
  <si>
    <t>Q6</t>
  </si>
  <si>
    <t>Third-party vendors (including MSPs) with remote network access implement controls to prevent ransomware/threat actors from moving into the institution's network.</t>
  </si>
  <si>
    <t>Vendor management process requires third-party vendors with remote access to provide, at least annually, an independent audit confirming these controls are in place.</t>
  </si>
  <si>
    <t>Q7</t>
  </si>
  <si>
    <t>Risk assessments include ransomware and extortion as a threat.</t>
  </si>
  <si>
    <t>Risk assessments identify common attack vectors (phishing, watering holes, malicious ads, third-party apps, attached files, unpatched vulnerabilities).</t>
  </si>
  <si>
    <t>Q8</t>
  </si>
  <si>
    <t>All ransomware risks and threats identified in risk assessments have been appropriately remedied or mitigated to an acceptable level.</t>
  </si>
  <si>
    <t>Q9</t>
  </si>
  <si>
    <t>All employees are periodically provided information on emerging ransomware threats (branch meetings, IT security emails, etc.).</t>
  </si>
  <si>
    <t>Q10</t>
  </si>
  <si>
    <t>Formal employee security awareness training is provided at least quarterly.</t>
  </si>
  <si>
    <t>Awareness training includes social engineering and phishing testing.</t>
  </si>
  <si>
    <t>Awareness training includes ransomware and extortion.</t>
  </si>
  <si>
    <t>Awareness training includes incident identification and reporting.</t>
  </si>
  <si>
    <t>Awareness training includes acceptable use policy training with written employee acknowledgement.</t>
  </si>
  <si>
    <t>Q11</t>
  </si>
  <si>
    <t>Institution performs phishing test exercises at least quarterly to measure employee vigilance.</t>
  </si>
  <si>
    <t>Metrics from phishing test exercises are used by management to evaluate training effectiveness and guide additional training.</t>
  </si>
  <si>
    <t>Q13</t>
  </si>
  <si>
    <t>Multi-factor authentication (MFA) has been implemented in the institution.</t>
  </si>
  <si>
    <t>MFA relies on stronger application-based or phishing-resistant methods rather than weaker SMS/voice-based authentication.</t>
  </si>
  <si>
    <t>MFA used for: privileged access management (PAM) (domain/application admin access).</t>
  </si>
  <si>
    <t>MFA used for: all users accessing any cloud-based service.</t>
  </si>
  <si>
    <t>MFA used for: cloud email services (Microsoft 365, etc.).</t>
  </si>
  <si>
    <t>MFA used for: access to external applications hosting non-public information (NPI).</t>
  </si>
  <si>
    <t>MFA used for: VPN / Remote Desktop (RDP) access into the network.</t>
  </si>
  <si>
    <t>MFA used for: vendor access into the network.</t>
  </si>
  <si>
    <t>MFA used for: internal service accounts.</t>
  </si>
  <si>
    <t>MFA used for: customers accessing NPI (eBanking, remote deposit capture, etc.).</t>
  </si>
  <si>
    <t>Q14</t>
  </si>
  <si>
    <t>Change management and patch management procedures facilitate prompt installation of critical patches and firmware updates.</t>
  </si>
  <si>
    <t>RDP is disabled, or restricted behind a firewall/VPN with network-level authentication and an IP allow-list.</t>
  </si>
  <si>
    <t>Administrative access to endpoints, workstations, and network resources is eliminated for all but network support personnel.</t>
  </si>
  <si>
    <t>Technical and administrative controls manage use of removable media (USB drives, portable hard drives, etc.).</t>
  </si>
  <si>
    <t>Default settings, user accounts, and passwords are changed for hardware and software.</t>
  </si>
  <si>
    <t>“Least privileged access” is applied when granting users access to shared folders and other resources.</t>
  </si>
  <si>
    <t>A process exists for provisioning and reviewing Active Directory access (especially service accounts) and is actively managed and reported to management.</t>
  </si>
  <si>
    <t>Procedures govern the resetting or replacement of authentication credentials for users.</t>
  </si>
  <si>
    <t>A jump box (bastion host) or administrative VLAN segregates administrative/privileged access to sensitive servers and data.</t>
  </si>
  <si>
    <t>All unnecessary browser or email client plugins are disabled.</t>
  </si>
  <si>
    <t>A DMARC policy is implemented and set to at least quarantine status.</t>
  </si>
  <si>
    <t>Network-based URL and DNS filtering is maintained and enforced.</t>
  </si>
  <si>
    <t>IDS/IPS detect and block ransomware activity, including the exchange of encryption keys.</t>
  </si>
  <si>
    <t>Network segmentation and/or micro-segmentation prevents the spread of ransomware and lateral movement of threat actors.</t>
  </si>
  <si>
    <t>Behavior-based malware prevention tool(s) are implemented.</t>
  </si>
  <si>
    <t>Q15</t>
  </si>
  <si>
    <t>Ransomware scenarios are specifically included in annual testing of the Incident Response Plan.</t>
  </si>
  <si>
    <t>Executive management participates in annual testing of the Incident Response Plan.</t>
  </si>
  <si>
    <t>Appropriate C-suite representatives actively participate in annual testing of the Incident Response Plan.</t>
  </si>
  <si>
    <t>Q16</t>
  </si>
  <si>
    <t>Data Loss Prevention (DLP) program prevents large-scale data exfiltration without MFA and without real-time alerts to a monitored endpoint.</t>
  </si>
  <si>
    <t>Blocking and alerts of executable files attempting to connect to the Internet.</t>
  </si>
  <si>
    <t>Alerts to changes in privileged access rights.</t>
  </si>
  <si>
    <t>Active monitoring of network management tools used on workstations (WMI, PsExec, PowerShell scripts, etc.).</t>
  </si>
  <si>
    <t>Detection of suspicious file extensions.</t>
  </si>
  <si>
    <t>Detection of large amounts of file renaming.</t>
  </si>
  <si>
    <t>Q17</t>
  </si>
  <si>
    <t>Incident Response Plan identifies a person (internal or third-party) with the expertise to manage/coordinate all aspects of a ransomware response.</t>
  </si>
  <si>
    <t>Q18</t>
  </si>
  <si>
    <t>IR Plan: designate an individual to monitor social media/news sources (incl. hyper-local platforms) for public awareness and discussion of the incident.</t>
  </si>
  <si>
    <t>IR Plan: prevent or isolate the ransomware from spreading to other systems.</t>
  </si>
  <si>
    <t>IR Plan: notify incident response stakeholders.</t>
  </si>
  <si>
    <t>IR Plan: immediately contact federal law enforcement (US Secret Service, FBI).</t>
  </si>
  <si>
    <t>IR Plan: grant authority to a specific individual(s) to shut down a third party's access to the network.</t>
  </si>
  <si>
    <t>IR Plan: implement “out-of-band” communications procedures to mitigate threat-actor use of SSO during containment/remediation.</t>
  </si>
  <si>
    <t>IR Plan: mitigate all exploited vulnerabilities.</t>
  </si>
  <si>
    <t>IR Plan: perform threat hunting to minimize back-door risks.</t>
  </si>
  <si>
    <t>IR Plan: immediately notify legal counsel and cyber insurance company, if applicable.</t>
  </si>
  <si>
    <t>IR Plan: implement alternative strategies for connecting to critical third-party vendors in the event of infection.</t>
  </si>
  <si>
    <t>IR Plan: determine scope of infection using specialized third parties or appropriately experienced in-house/MSP resources.</t>
  </si>
  <si>
    <t>IR Plan: establish escalation processes for enacting the Business Continuity/Disaster Recovery Plan for significant/long-term impacts.</t>
  </si>
  <si>
    <t>IR Plan: discuss any prospect of ransom payment with the board and appropriate committee(s) prior to payment, including OFAC guidance compliance.</t>
  </si>
  <si>
    <t>IR Plan: establish procedures to preserve forensic information and audit logs before any restoration is performed.</t>
  </si>
  <si>
    <t>IR Plan: restore systems/data if necessary.</t>
  </si>
  <si>
    <t>IR Plan: contact federal regulators within 36 hours and state regulators per applicable state requirements.</t>
  </si>
  <si>
    <t>IR Plan: prepare a communications document for internal staff to use when responding to customer questions.</t>
  </si>
  <si>
    <t>IR Plan: determine the cause of the incident.</t>
  </si>
  <si>
    <t>IR Plan: periodically update contact information for firms that assist with incident response.</t>
  </si>
  <si>
    <t>IR Plan: notify all affected employees, customers, and/or vendors as warranted.</t>
  </si>
  <si>
    <t>IR Plan: notify and periodically brief incident stakeholders as appropriate (employees, board, stockholders).</t>
  </si>
  <si>
    <t>Q19</t>
  </si>
  <si>
    <t>Institution has identified third parties to engage in the event of a successful ransomware or extortion attack.</t>
  </si>
  <si>
    <t>Prearranged service contracts (or at minimum contact information) exist so legal/contract issues do not delay response.</t>
  </si>
  <si>
    <t>Institution requires these third parties, including cyber insurance companies, to promptly engage with law enforcement.</t>
  </si>
  <si>
    <t>Third parties engaged are pre-approved by the bank's cyber insurance provider.</t>
  </si>
  <si>
    <t>Q20</t>
  </si>
  <si>
    <t>Return-to-normal-operations procedures include user testing after restoration.</t>
  </si>
  <si>
    <t>Return-to-normal-operations procedures include an after-action review to identify lessons learned.</t>
  </si>
  <si>
    <t>Return-to-normal-operations procedures include updating the Incident Response Plan with lessons learned.</t>
  </si>
  <si>
    <t>Return-to-normal-operations procedures include providing refresher training, as necessary, to employees.</t>
  </si>
  <si>
    <t>Return-to-normal-operations procedures include notifying stakeholders as appropriate (employees, board, stockholders).</t>
  </si>
  <si>
    <t>Backup &amp; Recovery Controls Matrix  (R-SAT Question 12 + Appendix A)</t>
  </si>
  <si>
    <t>Score each backup-resilience control separately for every critical service line. Leave a cell blank/N/A if that service line is not applicable or has no distinct backup process.</t>
  </si>
  <si>
    <t>Backup / Recovery Control</t>
  </si>
  <si>
    <t>Core
Processing</t>
  </si>
  <si>
    <t>Network
Admin</t>
  </si>
  <si>
    <t>Email
Service</t>
  </si>
  <si>
    <t>File Imaging
(Checks/Loans)</t>
  </si>
  <si>
    <t>Trust
Services</t>
  </si>
  <si>
    <t>Mortgage
Loans</t>
  </si>
  <si>
    <t>Investments</t>
  </si>
  <si>
    <t>Other 1</t>
  </si>
  <si>
    <t>Other 2</t>
  </si>
  <si>
    <t>Other 3</t>
  </si>
  <si>
    <t>Control
Score %</t>
  </si>
  <si>
    <t>a</t>
  </si>
  <si>
    <t>Procedures are in place to prevent backups from being affected by ransomware and extortion.</t>
  </si>
  <si>
    <t>b</t>
  </si>
  <si>
    <t>Access to backups requires an authentication method that differs from the network method of authentication.</t>
  </si>
  <si>
    <t>c</t>
  </si>
  <si>
    <t>At least daily full-system (vs. incremental) backups are made.</t>
  </si>
  <si>
    <t>d</t>
  </si>
  <si>
    <t>At least two backup copies are maintained, each on different media (disk, cloud, flash drive, etc.), stored separately.</t>
  </si>
  <si>
    <t>e</t>
  </si>
  <si>
    <t>At least one backup is offline (air-gapped) and/or immutable.</t>
  </si>
  <si>
    <t>f</t>
  </si>
  <si>
    <t>Procedures allow immediate off-network restoration (cold/warm/hot site) to facilitate continuity of essential operations.</t>
  </si>
  <si>
    <t>g</t>
  </si>
  <si>
    <t>Backup testing is conducted at least annually to help ensure recovery from ransomware using an unaffected backup.</t>
  </si>
  <si>
    <t>h</t>
  </si>
  <si>
    <t>Procedures validate the sterility of data backups prior to restoration, to prevent reinfection.</t>
  </si>
  <si>
    <t>Service Line Score %</t>
  </si>
  <si>
    <t>R-SAT Score History — Trend Across Assessment Periods</t>
  </si>
  <si>
    <t>Row 1 (below) auto-links to the CURRENT Dashboard values, so it always reflects whatever is on the Assessment tab right now. After each formal assessment cycle (per your 1-2x/year cadence), copy that row, Paste Special &gt; Values Only into a new row below, and update the date — that freezes a permanent snapshot for the trend chart. Do not edit Row 4 directly.</t>
  </si>
  <si>
    <t>Date</t>
  </si>
  <si>
    <t>Institution</t>
  </si>
  <si>
    <t>Overall %</t>
  </si>
  <si>
    <t>Identify/
Protect %</t>
  </si>
  <si>
    <t>Detect %</t>
  </si>
  <si>
    <t>Respond %</t>
  </si>
  <si>
    <t>Recover %</t>
  </si>
  <si>
    <t>Govern %</t>
  </si>
  <si>
    <t>Backup
Resilience %</t>
  </si>
  <si>
    <t>Notes</t>
  </si>
  <si>
    <t>Live — reflects current Assessment tab</t>
  </si>
  <si>
    <t>Metric</t>
  </si>
  <si>
    <t>Group</t>
  </si>
  <si>
    <t>Pct</t>
  </si>
  <si>
    <t>NA</t>
  </si>
  <si>
    <t>RSAT_FUNCTION</t>
  </si>
  <si>
    <t>CRI_FUNCTION</t>
  </si>
  <si>
    <t>OVERALL</t>
  </si>
  <si>
    <t>Overall Program</t>
  </si>
  <si>
    <t>ASSESS_ONLY</t>
  </si>
  <si>
    <t>R-SAT Assessment Tab</t>
  </si>
  <si>
    <t>BACKUP_ONLY</t>
  </si>
  <si>
    <t>Backup Controls Matrix</t>
  </si>
  <si>
    <t>COMPLETION</t>
  </si>
  <si>
    <t>Assessment Tab</t>
  </si>
  <si>
    <t>Acme Bank</t>
  </si>
  <si>
    <t>Dan Kolowski, CSO/CISO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</si>
</sst>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dd/yyyy"/>
    <numFmt numFmtId="165" formatCode="yyyy\-mm\-dd\ h:mm:ss"/>
  </numFmts>
  <fonts count="14" x14ac:knownFonts="1">
    <font>
      <sz val="11"/>
      <color theme="1"/>
      <name val="Calibri"/>
      <family val="2"/>
      <scheme val="minor"/>
    </font>
    <font>
      <b/>
      <sz val="16"/>
      <color rgb="FFFFFFFF"/>
      <name val="Calibri"/>
      <family val="2"/>
    </font>
    <font>
      <i/>
      <sz val="9"/>
      <color rgb="FF595959"/>
      <name val="Calibri"/>
      <family val="2"/>
    </font>
    <font>
      <b/>
      <sz val="12"/>
      <color rgb="FFFFFFFF"/>
      <name val="Calibri"/>
      <family val="2"/>
    </font>
    <font>
      <sz val="10"/>
      <color rgb="FF000000"/>
      <name val="Calibri"/>
      <family val="2"/>
    </font>
    <font>
      <b/>
      <sz val="10"/>
      <color rgb="FF1F3864"/>
      <name val="Calibri"/>
      <family val="2"/>
    </font>
    <font>
      <b/>
      <sz val="11"/>
      <name val="Calibri"/>
      <family val="2"/>
    </font>
    <font>
      <i/>
      <sz val="10"/>
      <color rgb="FF1F3864"/>
      <name val="Calibri"/>
      <family val="2"/>
    </font>
    <font>
      <b/>
      <sz val="11"/>
      <color rgb="FF1F3864"/>
      <name val="Calibri"/>
      <family val="2"/>
    </font>
    <font>
      <b/>
      <sz val="11"/>
      <color rgb="FFFFFFFF"/>
      <name val="Calibri"/>
      <family val="2"/>
    </font>
    <font>
      <i/>
      <sz val="11"/>
      <color rgb="FF595959"/>
      <name val="Calibri"/>
      <family val="2"/>
    </font>
    <font>
      <b/>
      <sz val="10"/>
      <color rgb="FFFFFFFF"/>
      <name val="Calibri"/>
      <family val="2"/>
    </font>
    <font>
      <b/>
      <sz val="26"/>
      <color rgb="FF1F3864"/>
      <name val="Calibri"/>
      <family val="2"/>
    </font>
    <font>
      <b/>
      <sz val="10"/>
      <color rgb="FF1F3864"/>
      <name val="Calibri"/>
      <family val="2"/>
    </font>
  </fonts>
  <fills count="16">
    <fill>
      <patternFill patternType="none"/>
    </fill>
    <fill>
      <patternFill patternType="gray125"/>
    </fill>
    <fill>
      <patternFill patternType="solid">
        <fgColor rgb="FF1F3864"/>
      </patternFill>
    </fill>
    <fill>
      <patternFill patternType="solid">
        <fgColor rgb="FF2E5A9C"/>
      </patternFill>
    </fill>
    <fill>
      <patternFill patternType="solid">
        <fgColor rgb="FFD9E2F3"/>
      </patternFill>
    </fill>
    <fill>
      <patternFill patternType="solid">
        <fgColor rgb="FFC6E0B4"/>
      </patternFill>
    </fill>
    <fill>
      <patternFill patternType="solid">
        <fgColor rgb="FFFFE699"/>
      </patternFill>
    </fill>
    <fill>
      <patternFill patternType="solid">
        <fgColor rgb="FFF8CBAD"/>
      </patternFill>
    </fill>
    <fill>
      <patternFill patternType="solid">
        <fgColor rgb="FFF2F2F2"/>
      </patternFill>
    </fill>
    <fill>
      <patternFill patternType="solid">
        <fgColor rgb="FFFFFFFF"/>
      </patternFill>
    </fill>
    <fill>
      <patternFill patternType="solid">
        <fgColor rgb="FFDDEBF7"/>
      </patternFill>
    </fill>
    <fill>
      <patternFill patternType="solid">
        <fgColor rgb="FFE7E6E6"/>
      </patternFill>
    </fill>
    <fill>
      <patternFill patternType="solid">
        <fgColor rgb="FFFCE4D6"/>
      </patternFill>
    </fill>
    <fill>
      <patternFill patternType="solid">
        <fgColor rgb="FFE2EFDA"/>
      </patternFill>
    </fill>
    <fill>
      <patternFill patternType="solid">
        <fgColor rgb="FFFFF2CC"/>
      </patternFill>
    </fill>
    <fill>
      <patternFill patternType="solid">
        <fgColor rgb="FF595959"/>
      </patternFill>
    </fill>
  </fills>
  <borders count="12">
    <border>
      <left/>
      <right/>
      <top/>
      <bottom/>
      <diagonal/>
    </border>
    <border>
      <left style="thin">
        <color rgb="FFBFBFBF"/>
      </left>
      <right style="thin">
        <color rgb="FFBFBFBF"/>
      </right>
      <top style="thin">
        <color rgb="FFBFBFBF"/>
      </top>
      <bottom style="thin">
        <color rgb="FFBFBFBF"/>
      </bottom>
      <diagonal/>
    </border>
    <border>
      <left style="thick">
        <color rgb="FF1F3864"/>
      </left>
      <right/>
      <top/>
      <bottom/>
      <diagonal/>
    </border>
    <border>
      <left/>
      <right/>
      <top style="thin">
        <color rgb="FFBFBFBF"/>
      </top>
      <bottom/>
      <diagonal/>
    </border>
    <border>
      <left/>
      <right style="thin">
        <color rgb="FFBFBFBF"/>
      </right>
      <top style="thin">
        <color rgb="FFBFBFBF"/>
      </top>
      <bottom/>
      <diagonal/>
    </border>
    <border>
      <left/>
      <right/>
      <top style="thin">
        <color rgb="FFBFBFBF"/>
      </top>
      <bottom style="thin">
        <color rgb="FFBFBFBF"/>
      </bottom>
      <diagonal/>
    </border>
    <border>
      <left/>
      <right style="thin">
        <color rgb="FFBFBFBF"/>
      </right>
      <top style="thin">
        <color rgb="FFBFBFBF"/>
      </top>
      <bottom style="thin">
        <color rgb="FFBFBFBF"/>
      </bottom>
      <diagonal/>
    </border>
    <border>
      <left style="thin">
        <color rgb="FFBFBFBF"/>
      </left>
      <right/>
      <top/>
      <bottom/>
      <diagonal/>
    </border>
    <border>
      <left/>
      <right style="thin">
        <color rgb="FFBFBFBF"/>
      </right>
      <top/>
      <bottom/>
      <diagonal/>
    </border>
    <border>
      <left style="thin">
        <color rgb="FFBFBFBF"/>
      </left>
      <right/>
      <top/>
      <bottom style="thin">
        <color rgb="FFBFBFBF"/>
      </bottom>
      <diagonal/>
    </border>
    <border>
      <left/>
      <right/>
      <top/>
      <bottom style="thin">
        <color rgb="FFBFBFBF"/>
      </bottom>
      <diagonal/>
    </border>
    <border>
      <left/>
      <right style="thin">
        <color rgb="FFBFBFBF"/>
      </right>
      <top/>
      <bottom style="thin">
        <color rgb="FFBFBFBF"/>
      </bottom>
      <diagonal/>
    </border>
  </borders>
  <cellStyleXfs count="1">
    <xf numFmtId="0" fontId="0" fillId="0" borderId="0"/>
  </cellStyleXfs>
  <cellXfs count="69">
    <xf numFmtId="0" fontId="0" fillId="0" borderId="0" xfId="0"/>
    <xf numFmtId="0" fontId="5" fillId="0" borderId="0" xfId="0" applyFont="1" applyAlignment="1">
      <alignment vertical="top" wrapText="1"/>
    </xf>
    <xf numFmtId="0" fontId="5" fillId="4" borderId="1" xfId="0" applyFont="1" applyFill="1" applyBorder="1" applyAlignment="1">
      <alignment horizontal="center" vertical="center"/>
    </xf>
    <xf numFmtId="0" fontId="6" fillId="5" borderId="1" xfId="0" applyFont="1" applyFill="1" applyBorder="1" applyAlignment="1">
      <alignment horizontal="center" vertical="center"/>
    </xf>
    <xf numFmtId="0" fontId="0" fillId="0" borderId="1" xfId="0" applyBorder="1" applyAlignment="1">
      <alignment horizontal="center" vertical="center"/>
    </xf>
    <xf numFmtId="0" fontId="4" fillId="0" borderId="1" xfId="0" applyFont="1" applyBorder="1" applyAlignment="1">
      <alignment horizontal="left" vertical="top" wrapText="1"/>
    </xf>
    <xf numFmtId="0" fontId="6" fillId="6" borderId="1" xfId="0" applyFont="1" applyFill="1" applyBorder="1" applyAlignment="1">
      <alignment horizontal="center" vertical="center"/>
    </xf>
    <xf numFmtId="0" fontId="6" fillId="7" borderId="1" xfId="0" applyFont="1" applyFill="1" applyBorder="1" applyAlignment="1">
      <alignment horizontal="center" vertical="center"/>
    </xf>
    <xf numFmtId="0" fontId="6" fillId="8" borderId="1" xfId="0" applyFont="1" applyFill="1" applyBorder="1" applyAlignment="1">
      <alignment horizontal="center" vertical="center"/>
    </xf>
    <xf numFmtId="0" fontId="5" fillId="0" borderId="0" xfId="0" applyFont="1" applyAlignment="1">
      <alignment horizontal="left" vertical="center"/>
    </xf>
    <xf numFmtId="0" fontId="5" fillId="4" borderId="1" xfId="0" applyFont="1" applyFill="1" applyBorder="1" applyAlignment="1">
      <alignment horizontal="center" vertical="center" wrapText="1"/>
    </xf>
    <xf numFmtId="0" fontId="4" fillId="0" borderId="1" xfId="0" applyFont="1" applyBorder="1" applyAlignment="1">
      <alignment horizontal="left" vertical="center"/>
    </xf>
    <xf numFmtId="0" fontId="5" fillId="0" borderId="0" xfId="0" applyFont="1"/>
    <xf numFmtId="0" fontId="4" fillId="0" borderId="0" xfId="0" applyFont="1" applyAlignment="1">
      <alignment horizontal="center" vertical="center"/>
    </xf>
    <xf numFmtId="0" fontId="3" fillId="3" borderId="1" xfId="0" applyFont="1" applyFill="1" applyBorder="1" applyAlignment="1">
      <alignment horizontal="center" vertical="center" wrapText="1"/>
    </xf>
    <xf numFmtId="0" fontId="0" fillId="10" borderId="1" xfId="0" applyFill="1" applyBorder="1" applyAlignment="1">
      <alignment horizontal="center" vertical="center"/>
    </xf>
    <xf numFmtId="0" fontId="0" fillId="4" borderId="1" xfId="0" applyFill="1" applyBorder="1" applyAlignment="1">
      <alignment horizontal="center" vertical="center"/>
    </xf>
    <xf numFmtId="0" fontId="0" fillId="0" borderId="1" xfId="0" applyBorder="1" applyAlignment="1">
      <alignment horizontal="left" vertical="top" wrapText="1"/>
    </xf>
    <xf numFmtId="0" fontId="0" fillId="11" borderId="1" xfId="0" applyFill="1" applyBorder="1" applyAlignment="1">
      <alignment horizontal="center" vertical="center"/>
    </xf>
    <xf numFmtId="0" fontId="0" fillId="12" borderId="1" xfId="0" applyFill="1" applyBorder="1" applyAlignment="1">
      <alignment horizontal="center" vertical="center"/>
    </xf>
    <xf numFmtId="0" fontId="0" fillId="13" borderId="1" xfId="0" applyFill="1" applyBorder="1" applyAlignment="1">
      <alignment horizontal="center" vertical="center"/>
    </xf>
    <xf numFmtId="0" fontId="0" fillId="14" borderId="1" xfId="0" applyFill="1" applyBorder="1" applyAlignment="1">
      <alignment horizontal="center" vertical="center"/>
    </xf>
    <xf numFmtId="9" fontId="6" fillId="0" borderId="1" xfId="0" applyNumberFormat="1" applyFont="1" applyBorder="1" applyAlignment="1">
      <alignment horizontal="center" vertical="center"/>
    </xf>
    <xf numFmtId="0" fontId="0" fillId="0" borderId="1" xfId="0" applyBorder="1"/>
    <xf numFmtId="0" fontId="8" fillId="0" borderId="1" xfId="0" applyFont="1" applyBorder="1"/>
    <xf numFmtId="9" fontId="6" fillId="4" borderId="1" xfId="0" applyNumberFormat="1" applyFont="1" applyFill="1" applyBorder="1" applyAlignment="1">
      <alignment horizontal="center" vertical="center"/>
    </xf>
    <xf numFmtId="9" fontId="9" fillId="2" borderId="1" xfId="0" applyNumberFormat="1" applyFont="1" applyFill="1" applyBorder="1" applyAlignment="1">
      <alignment horizontal="center" vertical="center"/>
    </xf>
    <xf numFmtId="0" fontId="0" fillId="10" borderId="1" xfId="0" applyFill="1" applyBorder="1"/>
    <xf numFmtId="9" fontId="0" fillId="0" borderId="1" xfId="0" applyNumberFormat="1" applyBorder="1" applyAlignment="1">
      <alignment horizontal="center" vertical="center"/>
    </xf>
    <xf numFmtId="0" fontId="0" fillId="12" borderId="1" xfId="0" applyFill="1" applyBorder="1"/>
    <xf numFmtId="0" fontId="0" fillId="13" borderId="1" xfId="0" applyFill="1" applyBorder="1"/>
    <xf numFmtId="0" fontId="0" fillId="14" borderId="1" xfId="0" applyFill="1" applyBorder="1"/>
    <xf numFmtId="0" fontId="0" fillId="11" borderId="1" xfId="0" applyFill="1" applyBorder="1"/>
    <xf numFmtId="0" fontId="0" fillId="4" borderId="1" xfId="0" applyFill="1" applyBorder="1"/>
    <xf numFmtId="164" fontId="0" fillId="4" borderId="1" xfId="0" applyNumberFormat="1" applyFill="1" applyBorder="1"/>
    <xf numFmtId="9" fontId="0" fillId="4" borderId="1" xfId="0" applyNumberFormat="1" applyFill="1" applyBorder="1"/>
    <xf numFmtId="0" fontId="2" fillId="4" borderId="1" xfId="0" applyFont="1" applyFill="1" applyBorder="1"/>
    <xf numFmtId="164" fontId="0" fillId="0" borderId="1" xfId="0" applyNumberFormat="1" applyBorder="1"/>
    <xf numFmtId="9" fontId="0" fillId="0" borderId="1" xfId="0" applyNumberFormat="1" applyBorder="1"/>
    <xf numFmtId="0" fontId="3" fillId="3" borderId="0" xfId="0" applyFont="1" applyFill="1" applyAlignment="1">
      <alignment horizontal="left" vertical="center" indent="1"/>
    </xf>
    <xf numFmtId="0" fontId="0" fillId="0" borderId="0" xfId="0"/>
    <xf numFmtId="0" fontId="4" fillId="0" borderId="1" xfId="0" applyFont="1" applyBorder="1"/>
    <xf numFmtId="0" fontId="0" fillId="0" borderId="6" xfId="0" applyBorder="1"/>
    <xf numFmtId="0" fontId="2" fillId="0" borderId="0" xfId="0" applyFont="1" applyAlignment="1">
      <alignment horizontal="left" vertical="top" wrapText="1"/>
    </xf>
    <xf numFmtId="0" fontId="7" fillId="4" borderId="2" xfId="0" applyFont="1" applyFill="1" applyBorder="1" applyAlignment="1">
      <alignment horizontal="left" vertical="top" wrapText="1"/>
    </xf>
    <xf numFmtId="0" fontId="4" fillId="0" borderId="0" xfId="0" applyFont="1" applyAlignment="1">
      <alignment horizontal="left" vertical="top" wrapText="1"/>
    </xf>
    <xf numFmtId="0" fontId="2" fillId="0" borderId="0" xfId="0" applyFont="1"/>
    <xf numFmtId="0" fontId="1" fillId="2" borderId="0" xfId="0" applyFont="1" applyFill="1" applyAlignment="1">
      <alignment horizontal="left" vertical="center" indent="1"/>
    </xf>
    <xf numFmtId="0" fontId="11" fillId="15" borderId="0" xfId="0" applyFont="1" applyFill="1" applyAlignment="1">
      <alignment horizontal="center" vertical="center"/>
    </xf>
    <xf numFmtId="0" fontId="10" fillId="0" borderId="0" xfId="0" applyFont="1"/>
    <xf numFmtId="0" fontId="0" fillId="0" borderId="1" xfId="0" applyBorder="1" applyAlignment="1">
      <alignment horizontal="left" vertical="top" wrapText="1"/>
    </xf>
    <xf numFmtId="0" fontId="0" fillId="0" borderId="5" xfId="0" applyBorder="1"/>
    <xf numFmtId="0" fontId="5" fillId="4" borderId="1" xfId="0" applyFont="1" applyFill="1" applyBorder="1" applyAlignment="1">
      <alignment horizontal="center" vertical="center"/>
    </xf>
    <xf numFmtId="9" fontId="12" fillId="8" borderId="0" xfId="0" applyNumberFormat="1" applyFont="1" applyFill="1" applyAlignment="1">
      <alignment horizontal="center" vertical="center"/>
    </xf>
    <xf numFmtId="0" fontId="13" fillId="8" borderId="0" xfId="0" applyFont="1" applyFill="1" applyAlignment="1">
      <alignment horizontal="left" vertical="center" indent="1"/>
    </xf>
    <xf numFmtId="49" fontId="12" fillId="8" borderId="0" xfId="0" applyNumberFormat="1" applyFont="1" applyFill="1" applyAlignment="1">
      <alignment horizontal="center" vertical="center"/>
    </xf>
    <xf numFmtId="0" fontId="4" fillId="0" borderId="1" xfId="0" applyFont="1" applyBorder="1" applyAlignment="1">
      <alignment horizontal="left" vertical="top" wrapText="1"/>
    </xf>
    <xf numFmtId="0" fontId="0" fillId="0" borderId="3" xfId="0" applyBorder="1"/>
    <xf numFmtId="0" fontId="0" fillId="0" borderId="4"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5" fillId="0" borderId="0" xfId="0" applyFont="1" applyAlignment="1">
      <alignment horizontal="left" vertical="top" wrapText="1"/>
    </xf>
    <xf numFmtId="0" fontId="4" fillId="9" borderId="1" xfId="0" applyFont="1" applyFill="1" applyBorder="1" applyAlignment="1">
      <alignment horizontal="left" vertical="center"/>
    </xf>
    <xf numFmtId="0" fontId="0" fillId="9" borderId="1" xfId="0" applyFill="1" applyBorder="1"/>
    <xf numFmtId="165" fontId="4" fillId="9" borderId="1" xfId="0" applyNumberFormat="1" applyFont="1" applyFill="1" applyBorder="1" applyAlignment="1">
      <alignment horizontal="left" vertical="center"/>
    </xf>
    <xf numFmtId="0" fontId="5" fillId="0" borderId="0" xfId="0" applyFont="1" applyAlignment="1">
      <alignment horizontal="left" vertical="center"/>
    </xf>
  </cellXfs>
  <cellStyles count="1">
    <cellStyle name="Normal" xfId="0" builtinId="0"/>
  </cellStyles>
  <dxfs count="4">
    <dxf>
      <fill>
        <patternFill patternType="solid">
          <fgColor rgb="FFF2F2F2"/>
        </patternFill>
      </fill>
    </dxf>
    <dxf>
      <fill>
        <patternFill patternType="solid">
          <fgColor rgb="FFF8CBAD"/>
        </patternFill>
      </fill>
    </dxf>
    <dxf>
      <fill>
        <patternFill patternType="solid">
          <fgColor rgb="FFFFE699"/>
        </patternFill>
      </fill>
    </dxf>
    <dxf>
      <fill>
        <patternFill patternType="solid">
          <fgColor rgb="FFC6E0B4"/>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rPr lang="en-US"/>
              <a:t>Score by R-SAT Function</a:t>
            </a:r>
          </a:p>
        </c:rich>
      </c:tx>
      <c:overlay val="0"/>
    </c:title>
    <c:autoTitleDeleted val="0"/>
    <c:plotArea>
      <c:layout/>
      <c:barChart>
        <c:barDir val="col"/>
        <c:grouping val="clustered"/>
        <c:varyColors val="1"/>
        <c:ser>
          <c:idx val="0"/>
          <c:order val="0"/>
          <c:tx>
            <c:strRef>
              <c:f>Dashboard!$C$12</c:f>
              <c:strCache>
                <c:ptCount val="1"/>
                <c:pt idx="0">
                  <c:v>Score %</c:v>
                </c:pt>
              </c:strCache>
            </c:strRef>
          </c:tx>
          <c:spPr>
            <a:solidFill>
              <a:srgbClr val="2E5A9C"/>
            </a:solidFill>
            <a:ln>
              <a:prstDash val="solid"/>
            </a:ln>
          </c:spPr>
          <c:invertIfNegative val="1"/>
          <c:dLbls>
            <c:spPr>
              <a:noFill/>
              <a:ln>
                <a:noFill/>
              </a:ln>
              <a:effectLst/>
            </c:spPr>
            <c:showLegendKey val="0"/>
            <c:showVal val="1"/>
            <c:showCatName val="0"/>
            <c:showSerName val="0"/>
            <c:showPercent val="1"/>
            <c:showBubbleSize val="1"/>
            <c:showLeaderLines val="0"/>
            <c:extLst>
              <c:ext xmlns:c15="http://schemas.microsoft.com/office/drawing/2012/chart" uri="{CE6537A1-D6FC-4f65-9D91-7224C49458BB}">
                <c15:showLeaderLines val="0"/>
              </c:ext>
            </c:extLst>
          </c:dLbls>
          <c:cat>
            <c:strRef>
              <c:f>Dashboard!$B$13:$B$16</c:f>
              <c:strCache>
                <c:ptCount val="4"/>
                <c:pt idx="0">
                  <c:v>Identify/Protect</c:v>
                </c:pt>
                <c:pt idx="1">
                  <c:v>Detect</c:v>
                </c:pt>
                <c:pt idx="2">
                  <c:v>Respond</c:v>
                </c:pt>
                <c:pt idx="3">
                  <c:v>Recover</c:v>
                </c:pt>
              </c:strCache>
            </c:strRef>
          </c:cat>
          <c:val>
            <c:numRef>
              <c:f>Dashboard!$C$13:$C$16</c:f>
              <c:numCache>
                <c:formatCode>0%</c:formatCode>
                <c:ptCount val="4"/>
                <c:pt idx="0">
                  <c:v>0.5854700854700855</c:v>
                </c:pt>
                <c:pt idx="1">
                  <c:v>0.5</c:v>
                </c:pt>
                <c:pt idx="2">
                  <c:v>0.61538461538461542</c:v>
                </c:pt>
                <c:pt idx="3">
                  <c:v>0.8</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0-17EF-2143-A7DB-4CC90F31D4A3}"/>
            </c:ext>
          </c:extLst>
        </c:ser>
        <c:dLbls>
          <c:showLegendKey val="0"/>
          <c:showVal val="0"/>
          <c:showCatName val="0"/>
          <c:showSerName val="0"/>
          <c:showPercent val="0"/>
          <c:showBubbleSize val="0"/>
        </c:dLbls>
        <c:gapWidth val="60"/>
        <c:axId val="10"/>
        <c:axId val="100"/>
      </c:barChart>
      <c:catAx>
        <c:axId val="10"/>
        <c:scaling>
          <c:orientation val="minMax"/>
        </c:scaling>
        <c:delete val="0"/>
        <c:axPos val="b"/>
        <c:title>
          <c:tx>
            <c:rich>
              <a:bodyPr/>
              <a:lstStyle/>
              <a:p>
                <a:pPr>
                  <a:defRPr/>
                </a:pPr>
                <a:r>
                  <a:rPr lang="en-US"/>
                  <a:t>R-SAT Function</a:t>
                </a:r>
              </a:p>
            </c:rich>
          </c:tx>
          <c:overlay val="1"/>
        </c:title>
        <c:numFmt formatCode="General" sourceLinked="1"/>
        <c:majorTickMark val="none"/>
        <c:minorTickMark val="none"/>
        <c:tickLblPos val="nextTo"/>
        <c:crossAx val="100"/>
        <c:crosses val="autoZero"/>
        <c:auto val="1"/>
        <c:lblAlgn val="ctr"/>
        <c:lblOffset val="100"/>
        <c:noMultiLvlLbl val="1"/>
      </c:catAx>
      <c:valAx>
        <c:axId val="100"/>
        <c:scaling>
          <c:orientation val="minMax"/>
          <c:max val="1.1499999999999999"/>
          <c:min val="0"/>
        </c:scaling>
        <c:delete val="0"/>
        <c:axPos val="l"/>
        <c:majorGridlines/>
        <c:title>
          <c:tx>
            <c:rich>
              <a:bodyPr/>
              <a:lstStyle/>
              <a:p>
                <a:pPr>
                  <a:defRPr/>
                </a:pPr>
                <a:r>
                  <a:rPr lang="en-US"/>
                  <a:t>Score %</a:t>
                </a:r>
              </a:p>
            </c:rich>
          </c:tx>
          <c:overlay val="1"/>
        </c:title>
        <c:numFmt formatCode="0%" sourceLinked="0"/>
        <c:majorTickMark val="none"/>
        <c:minorTickMark val="none"/>
        <c:tickLblPos val="nextTo"/>
        <c:crossAx val="10"/>
        <c:crosses val="autoZero"/>
        <c:crossBetween val="between"/>
        <c:majorUnit val="0.2"/>
      </c:valAx>
    </c:plotArea>
    <c:plotVisOnly val="1"/>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rPr lang="en-US"/>
              <a:t>Response Mix by Function</a:t>
            </a:r>
          </a:p>
        </c:rich>
      </c:tx>
      <c:overlay val="0"/>
    </c:title>
    <c:autoTitleDeleted val="0"/>
    <c:plotArea>
      <c:layout/>
      <c:barChart>
        <c:barDir val="col"/>
        <c:grouping val="percentStacked"/>
        <c:varyColors val="1"/>
        <c:ser>
          <c:idx val="0"/>
          <c:order val="0"/>
          <c:tx>
            <c:strRef>
              <c:f>Dashboard!$D$12</c:f>
              <c:strCache>
                <c:ptCount val="1"/>
                <c:pt idx="0">
                  <c:v>Yes</c:v>
                </c:pt>
              </c:strCache>
            </c:strRef>
          </c:tx>
          <c:spPr>
            <a:solidFill>
              <a:srgbClr val="70AD47"/>
            </a:solidFill>
            <a:ln>
              <a:prstDash val="solid"/>
            </a:ln>
          </c:spPr>
          <c:invertIfNegative val="1"/>
          <c:cat>
            <c:strRef>
              <c:f>Dashboard!$B$13:$B$16</c:f>
              <c:strCache>
                <c:ptCount val="4"/>
                <c:pt idx="0">
                  <c:v>Identify/Protect</c:v>
                </c:pt>
                <c:pt idx="1">
                  <c:v>Detect</c:v>
                </c:pt>
                <c:pt idx="2">
                  <c:v>Respond</c:v>
                </c:pt>
                <c:pt idx="3">
                  <c:v>Recover</c:v>
                </c:pt>
              </c:strCache>
            </c:strRef>
          </c:cat>
          <c:val>
            <c:numRef>
              <c:f>Dashboard!$D$13:$D$16</c:f>
              <c:numCache>
                <c:formatCode>General</c:formatCode>
                <c:ptCount val="4"/>
                <c:pt idx="0">
                  <c:v>33</c:v>
                </c:pt>
                <c:pt idx="1">
                  <c:v>2</c:v>
                </c:pt>
                <c:pt idx="2">
                  <c:v>16</c:v>
                </c:pt>
                <c:pt idx="3">
                  <c:v>4</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0-A4AA-5041-8AC7-914E17A1134D}"/>
            </c:ext>
          </c:extLst>
        </c:ser>
        <c:ser>
          <c:idx val="1"/>
          <c:order val="1"/>
          <c:tx>
            <c:strRef>
              <c:f>Dashboard!$E$12</c:f>
              <c:strCache>
                <c:ptCount val="1"/>
                <c:pt idx="0">
                  <c:v>Partial</c:v>
                </c:pt>
              </c:strCache>
            </c:strRef>
          </c:tx>
          <c:spPr>
            <a:solidFill>
              <a:srgbClr val="FFC000"/>
            </a:solidFill>
            <a:ln>
              <a:prstDash val="solid"/>
            </a:ln>
          </c:spPr>
          <c:invertIfNegative val="1"/>
          <c:cat>
            <c:strRef>
              <c:f>Dashboard!$B$13:$B$16</c:f>
              <c:strCache>
                <c:ptCount val="4"/>
                <c:pt idx="0">
                  <c:v>Identify/Protect</c:v>
                </c:pt>
                <c:pt idx="1">
                  <c:v>Detect</c:v>
                </c:pt>
                <c:pt idx="2">
                  <c:v>Respond</c:v>
                </c:pt>
                <c:pt idx="3">
                  <c:v>Recover</c:v>
                </c:pt>
              </c:strCache>
            </c:strRef>
          </c:cat>
          <c:val>
            <c:numRef>
              <c:f>Dashboard!$E$13:$E$16</c:f>
              <c:numCache>
                <c:formatCode>General</c:formatCode>
                <c:ptCount val="4"/>
                <c:pt idx="0">
                  <c:v>15</c:v>
                </c:pt>
                <c:pt idx="1">
                  <c:v>2</c:v>
                </c:pt>
                <c:pt idx="2">
                  <c:v>0</c:v>
                </c:pt>
                <c:pt idx="3">
                  <c:v>0</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1-A4AA-5041-8AC7-914E17A1134D}"/>
            </c:ext>
          </c:extLst>
        </c:ser>
        <c:ser>
          <c:idx val="2"/>
          <c:order val="2"/>
          <c:tx>
            <c:strRef>
              <c:f>Dashboard!$F$12</c:f>
              <c:strCache>
                <c:ptCount val="1"/>
                <c:pt idx="0">
                  <c:v>No</c:v>
                </c:pt>
              </c:strCache>
            </c:strRef>
          </c:tx>
          <c:spPr>
            <a:solidFill>
              <a:srgbClr val="C00000"/>
            </a:solidFill>
            <a:ln>
              <a:prstDash val="solid"/>
            </a:ln>
          </c:spPr>
          <c:invertIfNegative val="1"/>
          <c:cat>
            <c:strRef>
              <c:f>Dashboard!$B$13:$B$16</c:f>
              <c:strCache>
                <c:ptCount val="4"/>
                <c:pt idx="0">
                  <c:v>Identify/Protect</c:v>
                </c:pt>
                <c:pt idx="1">
                  <c:v>Detect</c:v>
                </c:pt>
                <c:pt idx="2">
                  <c:v>Respond</c:v>
                </c:pt>
                <c:pt idx="3">
                  <c:v>Recover</c:v>
                </c:pt>
              </c:strCache>
            </c:strRef>
          </c:cat>
          <c:val>
            <c:numRef>
              <c:f>Dashboard!$F$13:$F$16</c:f>
              <c:numCache>
                <c:formatCode>General</c:formatCode>
                <c:ptCount val="4"/>
                <c:pt idx="0">
                  <c:v>14</c:v>
                </c:pt>
                <c:pt idx="1">
                  <c:v>2</c:v>
                </c:pt>
                <c:pt idx="2">
                  <c:v>10</c:v>
                </c:pt>
                <c:pt idx="3">
                  <c:v>1</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2-A4AA-5041-8AC7-914E17A1134D}"/>
            </c:ext>
          </c:extLst>
        </c:ser>
        <c:ser>
          <c:idx val="3"/>
          <c:order val="3"/>
          <c:tx>
            <c:strRef>
              <c:f>Dashboard!$G$12</c:f>
              <c:strCache>
                <c:ptCount val="1"/>
                <c:pt idx="0">
                  <c:v>N/A</c:v>
                </c:pt>
              </c:strCache>
            </c:strRef>
          </c:tx>
          <c:spPr>
            <a:solidFill>
              <a:srgbClr val="A6A6A6"/>
            </a:solidFill>
            <a:ln>
              <a:prstDash val="solid"/>
            </a:ln>
          </c:spPr>
          <c:invertIfNegative val="1"/>
          <c:cat>
            <c:strRef>
              <c:f>Dashboard!$B$13:$B$16</c:f>
              <c:strCache>
                <c:ptCount val="4"/>
                <c:pt idx="0">
                  <c:v>Identify/Protect</c:v>
                </c:pt>
                <c:pt idx="1">
                  <c:v>Detect</c:v>
                </c:pt>
                <c:pt idx="2">
                  <c:v>Respond</c:v>
                </c:pt>
                <c:pt idx="3">
                  <c:v>Recover</c:v>
                </c:pt>
              </c:strCache>
            </c:strRef>
          </c:cat>
          <c:val>
            <c:numRef>
              <c:f>Dashboard!$G$13:$G$16</c:f>
              <c:numCache>
                <c:formatCode>General</c:formatCode>
                <c:ptCount val="4"/>
                <c:pt idx="0">
                  <c:v>5</c:v>
                </c:pt>
                <c:pt idx="1">
                  <c:v>0</c:v>
                </c:pt>
                <c:pt idx="2">
                  <c:v>0</c:v>
                </c:pt>
                <c:pt idx="3">
                  <c:v>0</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3-A4AA-5041-8AC7-914E17A1134D}"/>
            </c:ext>
          </c:extLst>
        </c:ser>
        <c:dLbls>
          <c:showLegendKey val="0"/>
          <c:showVal val="0"/>
          <c:showCatName val="0"/>
          <c:showSerName val="0"/>
          <c:showPercent val="0"/>
          <c:showBubbleSize val="0"/>
        </c:dLbls>
        <c:gapWidth val="60"/>
        <c:overlap val="100"/>
        <c:axId val="10"/>
        <c:axId val="100"/>
      </c:barChart>
      <c:catAx>
        <c:axId val="10"/>
        <c:scaling>
          <c:orientation val="minMax"/>
        </c:scaling>
        <c:delete val="0"/>
        <c:axPos val="b"/>
        <c:title>
          <c:tx>
            <c:rich>
              <a:bodyPr/>
              <a:lstStyle/>
              <a:p>
                <a:pPr>
                  <a:defRPr/>
                </a:pPr>
                <a:r>
                  <a:rPr lang="en-US"/>
                  <a:t>R-SAT Function</a:t>
                </a:r>
              </a:p>
            </c:rich>
          </c:tx>
          <c:overlay val="1"/>
        </c:title>
        <c:numFmt formatCode="General" sourceLinked="1"/>
        <c:majorTickMark val="none"/>
        <c:minorTickMark val="none"/>
        <c:tickLblPos val="nextTo"/>
        <c:crossAx val="100"/>
        <c:crosses val="autoZero"/>
        <c:auto val="1"/>
        <c:lblAlgn val="ctr"/>
        <c:lblOffset val="100"/>
        <c:noMultiLvlLbl val="1"/>
      </c:catAx>
      <c:valAx>
        <c:axId val="100"/>
        <c:scaling>
          <c:orientation val="minMax"/>
        </c:scaling>
        <c:delete val="0"/>
        <c:axPos val="l"/>
        <c:majorGridlines/>
        <c:title>
          <c:tx>
            <c:rich>
              <a:bodyPr/>
              <a:lstStyle/>
              <a:p>
                <a:pPr>
                  <a:defRPr/>
                </a:pPr>
                <a:r>
                  <a:rPr lang="en-US"/>
                  <a:t>Share of Controls</a:t>
                </a:r>
              </a:p>
            </c:rich>
          </c:tx>
          <c:overlay val="1"/>
        </c:title>
        <c:numFmt formatCode="0%" sourceLinked="0"/>
        <c:majorTickMark val="none"/>
        <c:minorTickMark val="none"/>
        <c:tickLblPos val="nextTo"/>
        <c:crossAx val="10"/>
        <c:crosses val="autoZero"/>
        <c:crossBetween val="between"/>
      </c:valAx>
    </c:plotArea>
    <c:legend>
      <c:legendPos val="r"/>
      <c:overlay val="1"/>
    </c:legend>
    <c:plotVisOnly val="1"/>
    <c:dispBlanksAs val="gap"/>
    <c:showDLblsOverMax val="1"/>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rPr lang="en-US"/>
              <a:t>Score by CRI Profile Function</a:t>
            </a:r>
          </a:p>
        </c:rich>
      </c:tx>
      <c:overlay val="0"/>
    </c:title>
    <c:autoTitleDeleted val="0"/>
    <c:plotArea>
      <c:layout/>
      <c:radarChart>
        <c:radarStyle val="marker"/>
        <c:varyColors val="1"/>
        <c:ser>
          <c:idx val="0"/>
          <c:order val="0"/>
          <c:tx>
            <c:strRef>
              <c:f>Dashboard!$C$19</c:f>
              <c:strCache>
                <c:ptCount val="1"/>
                <c:pt idx="0">
                  <c:v>Score %</c:v>
                </c:pt>
              </c:strCache>
            </c:strRef>
          </c:tx>
          <c:spPr>
            <a:ln w="28000">
              <a:solidFill>
                <a:srgbClr val="1F3864"/>
              </a:solidFill>
              <a:prstDash val="solid"/>
            </a:ln>
          </c:spPr>
          <c:marker>
            <c:symbol val="circle"/>
            <c:size val="7"/>
            <c:spPr>
              <a:solidFill>
                <a:srgbClr val="1F3864"/>
              </a:solidFill>
              <a:ln>
                <a:solidFill>
                  <a:srgbClr val="1F3864"/>
                </a:solidFill>
                <a:prstDash val="solid"/>
              </a:ln>
            </c:spPr>
          </c:marker>
          <c:dLbls>
            <c:spPr>
              <a:noFill/>
              <a:ln>
                <a:noFill/>
              </a:ln>
              <a:effectLst/>
            </c:spPr>
            <c:showLegendKey val="0"/>
            <c:showVal val="1"/>
            <c:showCatName val="0"/>
            <c:showSerName val="0"/>
            <c:showPercent val="1"/>
            <c:showBubbleSize val="1"/>
            <c:showLeaderLines val="0"/>
            <c:extLst>
              <c:ext xmlns:c15="http://schemas.microsoft.com/office/drawing/2012/chart" uri="{CE6537A1-D6FC-4f65-9D91-7224C49458BB}">
                <c15:showLeaderLines val="0"/>
              </c:ext>
            </c:extLst>
          </c:dLbls>
          <c:cat>
            <c:strRef>
              <c:f>Dashboard!$B$20:$B$25</c:f>
              <c:strCache>
                <c:ptCount val="6"/>
                <c:pt idx="0">
                  <c:v>Govern</c:v>
                </c:pt>
                <c:pt idx="1">
                  <c:v>Identify</c:v>
                </c:pt>
                <c:pt idx="2">
                  <c:v>Protect</c:v>
                </c:pt>
                <c:pt idx="3">
                  <c:v>Detect</c:v>
                </c:pt>
                <c:pt idx="4">
                  <c:v>Respond</c:v>
                </c:pt>
                <c:pt idx="5">
                  <c:v>Recover</c:v>
                </c:pt>
              </c:strCache>
            </c:strRef>
          </c:cat>
          <c:val>
            <c:numRef>
              <c:f>Dashboard!$C$20:$C$25</c:f>
              <c:numCache>
                <c:formatCode>0%</c:formatCode>
                <c:ptCount val="6"/>
                <c:pt idx="0">
                  <c:v>0.75862068965517238</c:v>
                </c:pt>
                <c:pt idx="1">
                  <c:v>0.66666666666666663</c:v>
                </c:pt>
                <c:pt idx="2">
                  <c:v>0.49264705882352944</c:v>
                </c:pt>
                <c:pt idx="3">
                  <c:v>0.5714285714285714</c:v>
                </c:pt>
                <c:pt idx="4">
                  <c:v>0.59090909090909094</c:v>
                </c:pt>
                <c:pt idx="5">
                  <c:v>0.68</c:v>
                </c:pt>
              </c:numCache>
            </c:numRef>
          </c:val>
          <c:extLst>
            <c:ext xmlns:c16="http://schemas.microsoft.com/office/drawing/2014/chart" uri="{C3380CC4-5D6E-409C-BE32-E72D297353CC}">
              <c16:uniqueId val="{00000000-660B-F14C-96FE-965404570209}"/>
            </c:ext>
          </c:extLst>
        </c:ser>
        <c:dLbls>
          <c:showLegendKey val="0"/>
          <c:showVal val="0"/>
          <c:showCatName val="0"/>
          <c:showSerName val="0"/>
          <c:showPercent val="0"/>
          <c:showBubbleSize val="0"/>
        </c:dLbls>
        <c:axId val="10"/>
        <c:axId val="100"/>
      </c:radarChart>
      <c:catAx>
        <c:axId val="10"/>
        <c:scaling>
          <c:orientation val="minMax"/>
        </c:scaling>
        <c:delete val="0"/>
        <c:axPos val="b"/>
        <c:numFmt formatCode="General" sourceLinked="1"/>
        <c:majorTickMark val="none"/>
        <c:minorTickMark val="none"/>
        <c:tickLblPos val="nextTo"/>
        <c:crossAx val="100"/>
        <c:crosses val="autoZero"/>
        <c:auto val="1"/>
        <c:lblAlgn val="ctr"/>
        <c:lblOffset val="100"/>
        <c:noMultiLvlLbl val="1"/>
      </c:catAx>
      <c:valAx>
        <c:axId val="100"/>
        <c:scaling>
          <c:orientation val="minMax"/>
          <c:max val="1"/>
          <c:min val="0"/>
        </c:scaling>
        <c:delete val="0"/>
        <c:axPos val="l"/>
        <c:majorGridlines/>
        <c:title>
          <c:tx>
            <c:rich>
              <a:bodyPr/>
              <a:lstStyle/>
              <a:p>
                <a:pPr>
                  <a:defRPr/>
                </a:pPr>
                <a:r>
                  <a:rPr lang="en-US"/>
                  <a:t>Score %</a:t>
                </a:r>
              </a:p>
            </c:rich>
          </c:tx>
          <c:overlay val="1"/>
        </c:title>
        <c:numFmt formatCode="0%" sourceLinked="0"/>
        <c:majorTickMark val="none"/>
        <c:minorTickMark val="none"/>
        <c:tickLblPos val="nextTo"/>
        <c:crossAx val="10"/>
        <c:crosses val="autoZero"/>
        <c:crossBetween val="between"/>
        <c:majorUnit val="0.2"/>
      </c:valAx>
    </c:plotArea>
    <c:plotVisOnly val="1"/>
    <c:dispBlanksAs val="gap"/>
    <c:showDLblsOverMax val="1"/>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rPr lang="en-US"/>
              <a:t>Overall Program Score Trend</a:t>
            </a:r>
          </a:p>
        </c:rich>
      </c:tx>
      <c:overlay val="1"/>
    </c:title>
    <c:autoTitleDeleted val="0"/>
    <c:plotArea>
      <c:layout/>
      <c:lineChart>
        <c:grouping val="standard"/>
        <c:varyColors val="1"/>
        <c:ser>
          <c:idx val="0"/>
          <c:order val="0"/>
          <c:tx>
            <c:strRef>
              <c:f>'Score History'!$D$4</c:f>
              <c:strCache>
                <c:ptCount val="1"/>
                <c:pt idx="0">
                  <c:v>Overall %</c:v>
                </c:pt>
              </c:strCache>
            </c:strRef>
          </c:tx>
          <c:spPr>
            <a:ln w="25000">
              <a:solidFill>
                <a:srgbClr val="1F3864"/>
              </a:solidFill>
              <a:prstDash val="solid"/>
            </a:ln>
          </c:spPr>
          <c:marker>
            <c:symbol val="circle"/>
            <c:size val="5"/>
            <c:spPr>
              <a:ln>
                <a:prstDash val="solid"/>
              </a:ln>
            </c:spPr>
          </c:marker>
          <c:cat>
            <c:numRef>
              <c:f>'Score History'!$B$5:$B$17</c:f>
              <c:numCache>
                <c:formatCode>mm/dd/yyyy</c:formatCode>
                <c:ptCount val="13"/>
                <c:pt idx="0">
                  <c:v>374958</c:v>
                </c:pt>
              </c:numCache>
            </c:numRef>
          </c:cat>
          <c:val>
            <c:numRef>
              <c:f>'Score History'!$D$5:$D$17</c:f>
              <c:numCache>
                <c:formatCode>0%</c:formatCode>
                <c:ptCount val="13"/>
                <c:pt idx="0">
                  <c:v>0.5941558441558441</c:v>
                </c:pt>
              </c:numCache>
            </c:numRef>
          </c:val>
          <c:smooth val="0"/>
          <c:extLst>
            <c:ext xmlns:c16="http://schemas.microsoft.com/office/drawing/2014/chart" uri="{C3380CC4-5D6E-409C-BE32-E72D297353CC}">
              <c16:uniqueId val="{00000000-F3AF-A040-93EE-72271A5D242C}"/>
            </c:ext>
          </c:extLst>
        </c:ser>
        <c:dLbls>
          <c:showLegendKey val="0"/>
          <c:showVal val="0"/>
          <c:showCatName val="0"/>
          <c:showSerName val="0"/>
          <c:showPercent val="0"/>
          <c:showBubbleSize val="0"/>
        </c:dLbls>
        <c:marker val="1"/>
        <c:smooth val="0"/>
        <c:axId val="10"/>
        <c:axId val="100"/>
      </c:lineChart>
      <c:dateAx>
        <c:axId val="10"/>
        <c:scaling>
          <c:orientation val="minMax"/>
        </c:scaling>
        <c:delete val="1"/>
        <c:axPos val="b"/>
        <c:numFmt formatCode="mm/dd/yyyy" sourceLinked="1"/>
        <c:majorTickMark val="none"/>
        <c:minorTickMark val="none"/>
        <c:tickLblPos val="nextTo"/>
        <c:crossAx val="100"/>
        <c:crosses val="autoZero"/>
        <c:auto val="1"/>
        <c:lblOffset val="100"/>
        <c:baseTimeUnit val="days"/>
      </c:dateAx>
      <c:valAx>
        <c:axId val="100"/>
        <c:scaling>
          <c:orientation val="minMax"/>
        </c:scaling>
        <c:delete val="1"/>
        <c:axPos val="l"/>
        <c:majorGridlines/>
        <c:numFmt formatCode="0%" sourceLinked="0"/>
        <c:majorTickMark val="none"/>
        <c:minorTickMark val="none"/>
        <c:tickLblPos val="nextTo"/>
        <c:crossAx val="10"/>
        <c:crosses val="autoZero"/>
        <c:crossBetween val="between"/>
      </c:valAx>
    </c:plotArea>
    <c:legend>
      <c:legendPos val="r"/>
      <c:overlay val="0"/>
      <c:txPr>
        <a:bodyPr/>
        <a:lstStyle/>
        <a:p>
          <a:pPr rtl="0">
            <a:defRPr/>
          </a:pPr>
          <a:endParaRPr lang="en-US"/>
        </a:p>
      </c:txPr>
    </c:legend>
    <c:plotVisOnly val="1"/>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oneCellAnchor>
    <xdr:from>
      <xdr:col>14</xdr:col>
      <xdr:colOff>0</xdr:colOff>
      <xdr:row>10</xdr:row>
      <xdr:rowOff>0</xdr:rowOff>
    </xdr:from>
    <xdr:ext cx="5760000" cy="3240000"/>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14</xdr:col>
      <xdr:colOff>0</xdr:colOff>
      <xdr:row>31</xdr:row>
      <xdr:rowOff>0</xdr:rowOff>
    </xdr:from>
    <xdr:ext cx="5760000" cy="3240000"/>
    <xdr:graphicFrame macro="">
      <xdr:nvGraphicFramePr>
        <xdr:cNvPr id="3" name="Chart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14</xdr:col>
      <xdr:colOff>0</xdr:colOff>
      <xdr:row>52</xdr:row>
      <xdr:rowOff>0</xdr:rowOff>
    </xdr:from>
    <xdr:ext cx="5760000" cy="3600000"/>
    <xdr:graphicFrame macro="">
      <xdr:nvGraphicFramePr>
        <xdr:cNvPr id="4" name="Chart 3">
          <a:extLst>
            <a:ext uri="{FF2B5EF4-FFF2-40B4-BE49-F238E27FC236}">
              <a16:creationId xmlns:a16="http://schemas.microsoft.com/office/drawing/2014/main" id="{00000000-0008-0000-01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18</xdr:row>
      <xdr:rowOff>0</xdr:rowOff>
    </xdr:from>
    <xdr:ext cx="8640000" cy="3240000"/>
    <xdr:graphicFrame macro="">
      <xdr:nvGraphicFramePr>
        <xdr:cNvPr id="2" name="Chart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808080"/>
  </sheetPr>
  <dimension ref="A2:D36"/>
  <sheetViews>
    <sheetView showGridLines="0" topLeftCell="A10" workbookViewId="0"/>
  </sheetViews>
  <sheetFormatPr baseColWidth="10" defaultColWidth="8.83203125" defaultRowHeight="15" x14ac:dyDescent="0.2"/>
  <cols>
    <col min="1" max="1" width="3" customWidth="1"/>
    <col min="2" max="2" width="22" customWidth="1"/>
    <col min="3" max="3" width="14" customWidth="1"/>
    <col min="4" max="4" width="78" customWidth="1"/>
    <col min="5" max="5" width="3" customWidth="1"/>
  </cols>
  <sheetData>
    <row r="2" spans="1:4" ht="26" customHeight="1" x14ac:dyDescent="0.2">
      <c r="A2" s="47" t="s">
        <v>0</v>
      </c>
      <c r="B2" s="40"/>
      <c r="C2" s="40"/>
      <c r="D2" s="40"/>
    </row>
    <row r="3" spans="1:4" x14ac:dyDescent="0.2">
      <c r="B3" s="46" t="s">
        <v>1</v>
      </c>
      <c r="C3" s="40"/>
      <c r="D3" s="40"/>
    </row>
    <row r="5" spans="1:4" ht="20" customHeight="1" x14ac:dyDescent="0.2">
      <c r="A5" s="39" t="s">
        <v>2</v>
      </c>
      <c r="B5" s="40"/>
      <c r="C5" s="40"/>
      <c r="D5" s="40"/>
    </row>
    <row r="6" spans="1:4" ht="80" customHeight="1" x14ac:dyDescent="0.2">
      <c r="B6" s="45" t="s">
        <v>3</v>
      </c>
      <c r="C6" s="40"/>
      <c r="D6" s="40"/>
    </row>
    <row r="8" spans="1:4" ht="20" customHeight="1" x14ac:dyDescent="0.2">
      <c r="A8" s="39" t="s">
        <v>4</v>
      </c>
      <c r="B8" s="40"/>
      <c r="C8" s="40"/>
      <c r="D8" s="40"/>
    </row>
    <row r="9" spans="1:4" ht="40" customHeight="1" x14ac:dyDescent="0.2">
      <c r="B9" s="1" t="s">
        <v>5</v>
      </c>
      <c r="C9" s="45" t="s">
        <v>6</v>
      </c>
      <c r="D9" s="40"/>
    </row>
    <row r="10" spans="1:4" ht="40" customHeight="1" x14ac:dyDescent="0.2">
      <c r="B10" s="1" t="s">
        <v>7</v>
      </c>
      <c r="C10" s="45" t="s">
        <v>8</v>
      </c>
      <c r="D10" s="40"/>
    </row>
    <row r="11" spans="1:4" ht="40" customHeight="1" x14ac:dyDescent="0.2">
      <c r="B11" s="1" t="s">
        <v>9</v>
      </c>
      <c r="C11" s="45" t="s">
        <v>10</v>
      </c>
      <c r="D11" s="40"/>
    </row>
    <row r="12" spans="1:4" ht="40" customHeight="1" x14ac:dyDescent="0.2">
      <c r="B12" s="1" t="s">
        <v>11</v>
      </c>
      <c r="C12" s="45" t="s">
        <v>12</v>
      </c>
      <c r="D12" s="40"/>
    </row>
    <row r="13" spans="1:4" ht="40" customHeight="1" x14ac:dyDescent="0.2">
      <c r="B13" s="1" t="s">
        <v>13</v>
      </c>
      <c r="C13" s="45" t="s">
        <v>14</v>
      </c>
      <c r="D13" s="40"/>
    </row>
    <row r="15" spans="1:4" ht="20" customHeight="1" x14ac:dyDescent="0.2">
      <c r="A15" s="39" t="s">
        <v>15</v>
      </c>
      <c r="B15" s="40"/>
      <c r="C15" s="40"/>
      <c r="D15" s="40"/>
    </row>
    <row r="16" spans="1:4" x14ac:dyDescent="0.2">
      <c r="B16" s="2" t="s">
        <v>16</v>
      </c>
      <c r="C16" s="2" t="s">
        <v>17</v>
      </c>
      <c r="D16" s="2" t="s">
        <v>18</v>
      </c>
    </row>
    <row r="17" spans="1:4" x14ac:dyDescent="0.2">
      <c r="B17" s="3" t="s">
        <v>19</v>
      </c>
      <c r="C17" s="4" t="s">
        <v>20</v>
      </c>
      <c r="D17" s="5" t="s">
        <v>21</v>
      </c>
    </row>
    <row r="18" spans="1:4" x14ac:dyDescent="0.2">
      <c r="B18" s="6" t="s">
        <v>22</v>
      </c>
      <c r="C18" s="4" t="s">
        <v>23</v>
      </c>
      <c r="D18" s="5" t="s">
        <v>24</v>
      </c>
    </row>
    <row r="19" spans="1:4" x14ac:dyDescent="0.2">
      <c r="B19" s="7" t="s">
        <v>25</v>
      </c>
      <c r="C19" s="4" t="s">
        <v>26</v>
      </c>
      <c r="D19" s="5" t="s">
        <v>27</v>
      </c>
    </row>
    <row r="20" spans="1:4" x14ac:dyDescent="0.2">
      <c r="B20" s="8" t="s">
        <v>28</v>
      </c>
      <c r="C20" s="4" t="s">
        <v>29</v>
      </c>
      <c r="D20" s="5" t="s">
        <v>30</v>
      </c>
    </row>
    <row r="22" spans="1:4" ht="20" customHeight="1" x14ac:dyDescent="0.2">
      <c r="A22" s="39" t="s">
        <v>31</v>
      </c>
      <c r="B22" s="40"/>
      <c r="C22" s="40"/>
      <c r="D22" s="40"/>
    </row>
    <row r="23" spans="1:4" ht="28" customHeight="1" x14ac:dyDescent="0.2">
      <c r="B23" s="43" t="s">
        <v>32</v>
      </c>
      <c r="C23" s="40"/>
      <c r="D23" s="40"/>
    </row>
    <row r="24" spans="1:4" x14ac:dyDescent="0.2">
      <c r="B24" s="3" t="s">
        <v>33</v>
      </c>
      <c r="C24" s="41" t="s">
        <v>34</v>
      </c>
      <c r="D24" s="42"/>
    </row>
    <row r="25" spans="1:4" x14ac:dyDescent="0.2">
      <c r="B25" s="3" t="s">
        <v>35</v>
      </c>
      <c r="C25" s="41" t="s">
        <v>36</v>
      </c>
      <c r="D25" s="42"/>
    </row>
    <row r="26" spans="1:4" x14ac:dyDescent="0.2">
      <c r="B26" s="6" t="s">
        <v>37</v>
      </c>
      <c r="C26" s="41" t="s">
        <v>38</v>
      </c>
      <c r="D26" s="42"/>
    </row>
    <row r="27" spans="1:4" x14ac:dyDescent="0.2">
      <c r="B27" s="7" t="s">
        <v>39</v>
      </c>
      <c r="C27" s="41" t="s">
        <v>40</v>
      </c>
      <c r="D27" s="42"/>
    </row>
    <row r="29" spans="1:4" ht="20" customHeight="1" x14ac:dyDescent="0.2">
      <c r="A29" s="39" t="s">
        <v>41</v>
      </c>
      <c r="B29" s="40"/>
      <c r="C29" s="40"/>
      <c r="D29" s="40"/>
    </row>
    <row r="30" spans="1:4" ht="70" customHeight="1" x14ac:dyDescent="0.2">
      <c r="B30" s="45" t="s">
        <v>42</v>
      </c>
      <c r="C30" s="40"/>
      <c r="D30" s="40"/>
    </row>
    <row r="32" spans="1:4" ht="20" customHeight="1" x14ac:dyDescent="0.2">
      <c r="A32" s="39" t="s">
        <v>43</v>
      </c>
      <c r="B32" s="40"/>
      <c r="C32" s="40"/>
      <c r="D32" s="40"/>
    </row>
    <row r="33" spans="2:4" ht="18" customHeight="1" x14ac:dyDescent="0.2">
      <c r="B33" s="45" t="s">
        <v>44</v>
      </c>
      <c r="C33" s="40"/>
      <c r="D33" s="40"/>
    </row>
    <row r="34" spans="2:4" ht="34" customHeight="1" x14ac:dyDescent="0.2">
      <c r="B34" s="44" t="s">
        <v>45</v>
      </c>
      <c r="C34" s="40"/>
      <c r="D34" s="40"/>
    </row>
    <row r="36" spans="2:4" ht="18" customHeight="1" x14ac:dyDescent="0.2">
      <c r="B36" s="43" t="s">
        <v>46</v>
      </c>
      <c r="C36" s="40"/>
      <c r="D36" s="40"/>
    </row>
  </sheetData>
  <mergeCells count="23">
    <mergeCell ref="A2:D2"/>
    <mergeCell ref="A32:D32"/>
    <mergeCell ref="B36:D36"/>
    <mergeCell ref="C11:D11"/>
    <mergeCell ref="C27:D27"/>
    <mergeCell ref="B3:D3"/>
    <mergeCell ref="C13:D13"/>
    <mergeCell ref="A29:D29"/>
    <mergeCell ref="C26:D26"/>
    <mergeCell ref="B34:D34"/>
    <mergeCell ref="C10:D10"/>
    <mergeCell ref="C25:D25"/>
    <mergeCell ref="A15:D15"/>
    <mergeCell ref="B30:D30"/>
    <mergeCell ref="B33:D33"/>
    <mergeCell ref="C12:D12"/>
    <mergeCell ref="A5:D5"/>
    <mergeCell ref="A8:D8"/>
    <mergeCell ref="C24:D24"/>
    <mergeCell ref="A22:D22"/>
    <mergeCell ref="B23:D23"/>
    <mergeCell ref="C9:D9"/>
    <mergeCell ref="B6:D6"/>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F3864"/>
  </sheetPr>
  <dimension ref="A1:M51"/>
  <sheetViews>
    <sheetView showGridLines="0" workbookViewId="0">
      <selection activeCell="B2" sqref="B2:M2"/>
    </sheetView>
  </sheetViews>
  <sheetFormatPr baseColWidth="10" defaultColWidth="8.83203125" defaultRowHeight="15" x14ac:dyDescent="0.2"/>
  <cols>
    <col min="1" max="1" width="2" customWidth="1"/>
    <col min="2" max="7" width="16" customWidth="1"/>
    <col min="8" max="14" width="4" customWidth="1"/>
    <col min="15" max="15" width="3" customWidth="1"/>
  </cols>
  <sheetData>
    <row r="1" spans="1:13" ht="26" customHeight="1" x14ac:dyDescent="0.2">
      <c r="A1" s="47" t="s">
        <v>47</v>
      </c>
      <c r="B1" s="40"/>
      <c r="C1" s="40"/>
      <c r="D1" s="40"/>
      <c r="E1" s="40"/>
      <c r="F1" s="40"/>
      <c r="G1" s="40"/>
      <c r="H1" s="40"/>
      <c r="I1" s="40"/>
      <c r="J1" s="40"/>
      <c r="K1" s="40"/>
      <c r="L1" s="40"/>
      <c r="M1" s="40"/>
    </row>
    <row r="2" spans="1:13" x14ac:dyDescent="0.2">
      <c r="B2" s="49" t="str">
        <f>IF(InstitutionName="","[Enter institution on Cover &amp; Scope tab]",InstitutionName)&amp;"   |   Assessment Date: "&amp;IF(AssessmentDate="","(not set)",AssessmentDate)</f>
        <v>Acme Bank   |   Assessment Date: 374958</v>
      </c>
      <c r="C2" s="40"/>
      <c r="D2" s="40"/>
      <c r="E2" s="40"/>
      <c r="F2" s="40"/>
      <c r="G2" s="40"/>
      <c r="H2" s="40"/>
      <c r="I2" s="40"/>
      <c r="J2" s="40"/>
      <c r="K2" s="40"/>
      <c r="L2" s="40"/>
      <c r="M2" s="40"/>
    </row>
    <row r="4" spans="1:13" ht="18" customHeight="1" x14ac:dyDescent="0.2">
      <c r="B4" s="48" t="s">
        <v>48</v>
      </c>
      <c r="C4" s="40"/>
      <c r="D4" s="48" t="s">
        <v>49</v>
      </c>
      <c r="E4" s="40"/>
      <c r="F4" s="48" t="s">
        <v>50</v>
      </c>
      <c r="G4" s="40"/>
      <c r="H4" s="48" t="s">
        <v>51</v>
      </c>
      <c r="I4" s="40"/>
    </row>
    <row r="5" spans="1:13" ht="30" customHeight="1" x14ac:dyDescent="0.2">
      <c r="B5" s="53">
        <f>_Calc!E12</f>
        <v>0.5941558441558441</v>
      </c>
      <c r="C5" s="40"/>
      <c r="D5" s="55" t="str">
        <f>IF(_Calc!E12&gt;=0.9,"Optimized",IF(_Calc!E12&gt;=0.75,"Managed",IF(_Calc!E12&gt;=0.5,"Developing","Initial")))</f>
        <v>Developing</v>
      </c>
      <c r="E5" s="40"/>
      <c r="F5" s="53">
        <f>_Calc!E15</f>
        <v>1</v>
      </c>
      <c r="G5" s="40"/>
      <c r="H5" s="53">
        <f>_Calc!E14</f>
        <v>0.50909090909090904</v>
      </c>
      <c r="I5" s="40"/>
    </row>
    <row r="6" spans="1:13" x14ac:dyDescent="0.2">
      <c r="B6" s="40"/>
      <c r="C6" s="40"/>
      <c r="D6" s="40"/>
      <c r="E6" s="40"/>
      <c r="F6" s="40"/>
      <c r="G6" s="40"/>
      <c r="H6" s="40"/>
      <c r="I6" s="40"/>
    </row>
    <row r="7" spans="1:13" x14ac:dyDescent="0.2">
      <c r="B7" s="40"/>
      <c r="C7" s="40"/>
      <c r="D7" s="40"/>
      <c r="E7" s="40"/>
      <c r="F7" s="40"/>
      <c r="G7" s="40"/>
      <c r="H7" s="40"/>
      <c r="I7" s="40"/>
    </row>
    <row r="11" spans="1:13" ht="20" customHeight="1" x14ac:dyDescent="0.2">
      <c r="A11" s="39" t="s">
        <v>52</v>
      </c>
      <c r="B11" s="40"/>
      <c r="C11" s="40"/>
      <c r="D11" s="40"/>
      <c r="E11" s="40"/>
      <c r="F11" s="40"/>
      <c r="G11" s="40"/>
      <c r="H11" s="40"/>
      <c r="I11" s="40"/>
      <c r="J11" s="40"/>
      <c r="K11" s="40"/>
      <c r="L11" s="40"/>
      <c r="M11" s="40"/>
    </row>
    <row r="12" spans="1:13" x14ac:dyDescent="0.2">
      <c r="B12" s="2" t="s">
        <v>53</v>
      </c>
      <c r="C12" s="2" t="s">
        <v>54</v>
      </c>
      <c r="D12" s="2" t="s">
        <v>19</v>
      </c>
      <c r="E12" s="2" t="s">
        <v>22</v>
      </c>
      <c r="F12" s="2" t="s">
        <v>25</v>
      </c>
      <c r="G12" s="2" t="s">
        <v>28</v>
      </c>
    </row>
    <row r="13" spans="1:13" x14ac:dyDescent="0.2">
      <c r="B13" s="27" t="s">
        <v>55</v>
      </c>
      <c r="C13" s="28">
        <f>_Calc!E2</f>
        <v>0.5854700854700855</v>
      </c>
      <c r="D13" s="4">
        <f>_Calc!F2</f>
        <v>33</v>
      </c>
      <c r="E13" s="4">
        <f>_Calc!G2</f>
        <v>15</v>
      </c>
      <c r="F13" s="4">
        <f>_Calc!H2</f>
        <v>14</v>
      </c>
      <c r="G13" s="4">
        <f>_Calc!I2</f>
        <v>5</v>
      </c>
    </row>
    <row r="14" spans="1:13" x14ac:dyDescent="0.2">
      <c r="B14" s="29" t="s">
        <v>56</v>
      </c>
      <c r="C14" s="28">
        <f>_Calc!E3</f>
        <v>0.5</v>
      </c>
      <c r="D14" s="4">
        <f>_Calc!F3</f>
        <v>2</v>
      </c>
      <c r="E14" s="4">
        <f>_Calc!G3</f>
        <v>2</v>
      </c>
      <c r="F14" s="4">
        <f>_Calc!H3</f>
        <v>2</v>
      </c>
      <c r="G14" s="4">
        <f>_Calc!I3</f>
        <v>0</v>
      </c>
    </row>
    <row r="15" spans="1:13" x14ac:dyDescent="0.2">
      <c r="B15" s="30" t="s">
        <v>57</v>
      </c>
      <c r="C15" s="28">
        <f>_Calc!E4</f>
        <v>0.61538461538461542</v>
      </c>
      <c r="D15" s="4">
        <f>_Calc!F4</f>
        <v>16</v>
      </c>
      <c r="E15" s="4">
        <f>_Calc!G4</f>
        <v>0</v>
      </c>
      <c r="F15" s="4">
        <f>_Calc!H4</f>
        <v>10</v>
      </c>
      <c r="G15" s="4">
        <f>_Calc!I4</f>
        <v>0</v>
      </c>
    </row>
    <row r="16" spans="1:13" x14ac:dyDescent="0.2">
      <c r="B16" s="31" t="s">
        <v>58</v>
      </c>
      <c r="C16" s="28">
        <f>_Calc!E5</f>
        <v>0.8</v>
      </c>
      <c r="D16" s="4">
        <f>_Calc!F5</f>
        <v>4</v>
      </c>
      <c r="E16" s="4">
        <f>_Calc!G5</f>
        <v>0</v>
      </c>
      <c r="F16" s="4">
        <f>_Calc!H5</f>
        <v>1</v>
      </c>
      <c r="G16" s="4">
        <f>_Calc!I5</f>
        <v>0</v>
      </c>
    </row>
    <row r="18" spans="1:13" ht="20" customHeight="1" x14ac:dyDescent="0.2">
      <c r="A18" s="39" t="s">
        <v>59</v>
      </c>
      <c r="B18" s="40"/>
      <c r="C18" s="40"/>
      <c r="D18" s="40"/>
      <c r="E18" s="40"/>
      <c r="F18" s="40"/>
      <c r="G18" s="40"/>
      <c r="H18" s="40"/>
      <c r="I18" s="40"/>
      <c r="J18" s="40"/>
      <c r="K18" s="40"/>
      <c r="L18" s="40"/>
      <c r="M18" s="40"/>
    </row>
    <row r="19" spans="1:13" x14ac:dyDescent="0.2">
      <c r="B19" s="2" t="s">
        <v>53</v>
      </c>
      <c r="C19" s="2" t="s">
        <v>54</v>
      </c>
      <c r="D19" s="2" t="s">
        <v>19</v>
      </c>
      <c r="E19" s="2" t="s">
        <v>22</v>
      </c>
      <c r="F19" s="2" t="s">
        <v>25</v>
      </c>
      <c r="G19" s="2" t="s">
        <v>28</v>
      </c>
    </row>
    <row r="20" spans="1:13" x14ac:dyDescent="0.2">
      <c r="B20" s="32" t="s">
        <v>60</v>
      </c>
      <c r="C20" s="28">
        <f>_Calc!E6</f>
        <v>0.75862068965517238</v>
      </c>
      <c r="D20" s="4">
        <f>_Calc!F6</f>
        <v>19</v>
      </c>
      <c r="E20" s="4">
        <f>_Calc!G6</f>
        <v>6</v>
      </c>
      <c r="F20" s="4">
        <f>_Calc!H6</f>
        <v>4</v>
      </c>
      <c r="G20" s="4">
        <f>_Calc!I6</f>
        <v>5</v>
      </c>
    </row>
    <row r="21" spans="1:13" x14ac:dyDescent="0.2">
      <c r="B21" s="33" t="s">
        <v>61</v>
      </c>
      <c r="C21" s="28">
        <f>_Calc!E7</f>
        <v>0.66666666666666663</v>
      </c>
      <c r="D21" s="4">
        <f>_Calc!F7</f>
        <v>2</v>
      </c>
      <c r="E21" s="4">
        <f>_Calc!G7</f>
        <v>0</v>
      </c>
      <c r="F21" s="4">
        <f>_Calc!H7</f>
        <v>1</v>
      </c>
      <c r="G21" s="4">
        <f>_Calc!I7</f>
        <v>0</v>
      </c>
    </row>
    <row r="22" spans="1:13" x14ac:dyDescent="0.2">
      <c r="B22" s="33" t="s">
        <v>62</v>
      </c>
      <c r="C22" s="28">
        <f>_Calc!E8</f>
        <v>0.49264705882352944</v>
      </c>
      <c r="D22" s="4">
        <f>_Calc!F8</f>
        <v>15</v>
      </c>
      <c r="E22" s="4">
        <f>_Calc!G8</f>
        <v>9</v>
      </c>
      <c r="F22" s="4">
        <f>_Calc!H8</f>
        <v>9</v>
      </c>
      <c r="G22" s="4">
        <f>_Calc!I8</f>
        <v>0</v>
      </c>
    </row>
    <row r="23" spans="1:13" x14ac:dyDescent="0.2">
      <c r="B23" s="29" t="s">
        <v>56</v>
      </c>
      <c r="C23" s="28">
        <f>_Calc!E9</f>
        <v>0.5714285714285714</v>
      </c>
      <c r="D23" s="4">
        <f>_Calc!F9</f>
        <v>3</v>
      </c>
      <c r="E23" s="4">
        <f>_Calc!G9</f>
        <v>2</v>
      </c>
      <c r="F23" s="4">
        <f>_Calc!H9</f>
        <v>2</v>
      </c>
      <c r="G23" s="4">
        <f>_Calc!I9</f>
        <v>0</v>
      </c>
    </row>
    <row r="24" spans="1:13" x14ac:dyDescent="0.2">
      <c r="B24" s="30" t="s">
        <v>57</v>
      </c>
      <c r="C24" s="28">
        <f>_Calc!E10</f>
        <v>0.59090909090909094</v>
      </c>
      <c r="D24" s="4">
        <f>_Calc!F10</f>
        <v>13</v>
      </c>
      <c r="E24" s="4">
        <f>_Calc!G10</f>
        <v>0</v>
      </c>
      <c r="F24" s="4">
        <f>_Calc!H10</f>
        <v>9</v>
      </c>
      <c r="G24" s="4">
        <f>_Calc!I10</f>
        <v>0</v>
      </c>
    </row>
    <row r="25" spans="1:13" x14ac:dyDescent="0.2">
      <c r="B25" s="31" t="s">
        <v>58</v>
      </c>
      <c r="C25" s="28">
        <f>_Calc!E11</f>
        <v>0.68</v>
      </c>
      <c r="D25" s="4">
        <f>_Calc!F11</f>
        <v>3</v>
      </c>
      <c r="E25" s="4">
        <f>_Calc!G11</f>
        <v>0</v>
      </c>
      <c r="F25" s="4">
        <f>_Calc!H11</f>
        <v>2</v>
      </c>
      <c r="G25" s="4">
        <f>_Calc!I11</f>
        <v>0</v>
      </c>
    </row>
    <row r="28" spans="1:13" ht="20" customHeight="1" x14ac:dyDescent="0.2">
      <c r="A28" s="39" t="s">
        <v>63</v>
      </c>
      <c r="B28" s="40"/>
      <c r="C28" s="40"/>
      <c r="D28" s="40"/>
      <c r="E28" s="40"/>
      <c r="F28" s="40"/>
      <c r="G28" s="40"/>
      <c r="H28" s="40"/>
      <c r="I28" s="40"/>
      <c r="J28" s="40"/>
      <c r="K28" s="40"/>
      <c r="L28" s="40"/>
      <c r="M28" s="40"/>
    </row>
    <row r="29" spans="1:13" x14ac:dyDescent="0.2">
      <c r="B29" s="2" t="s">
        <v>64</v>
      </c>
      <c r="C29" s="2" t="s">
        <v>65</v>
      </c>
      <c r="D29" s="2" t="s">
        <v>66</v>
      </c>
      <c r="E29" s="2" t="s">
        <v>67</v>
      </c>
      <c r="F29" s="52" t="s">
        <v>68</v>
      </c>
      <c r="G29" s="51"/>
      <c r="H29" s="51"/>
      <c r="I29" s="51"/>
      <c r="J29" s="51"/>
      <c r="K29" s="51"/>
      <c r="L29" s="51"/>
      <c r="M29" s="42"/>
    </row>
    <row r="30" spans="1:13" ht="18" customHeight="1" x14ac:dyDescent="0.2">
      <c r="B30" s="4">
        <v>1</v>
      </c>
      <c r="C30" s="4" t="str">
        <f>IFERROR(INDEX(Assessment!$B$6:$B$109,MATCH(1,Assessment!$J$6:$J$109,0)),"")</f>
        <v>Q3</v>
      </c>
      <c r="D30" s="4" t="str">
        <f>IFERROR(INDEX(Assessment!$C$6:$C$109,MATCH(1,Assessment!$J$6:$J$109,0)),"")</f>
        <v>Identify/Protect</v>
      </c>
      <c r="E30" s="4" t="str">
        <f>IFERROR(INDEX(Assessment!$D$6:$D$109,MATCH(1,Assessment!$J$6:$J$109,0)),"")</f>
        <v>Govern</v>
      </c>
      <c r="F30" s="50" t="str">
        <f>IFERROR(INDEX(Assessment!$E$6:$E$109,MATCH(1,Assessment!$J$6:$J$109,0)),"")</f>
        <v>Insurance coverage includes: data retention services.</v>
      </c>
      <c r="G30" s="51"/>
      <c r="H30" s="51"/>
      <c r="I30" s="51"/>
      <c r="J30" s="51"/>
      <c r="K30" s="51"/>
      <c r="L30" s="51"/>
      <c r="M30" s="42"/>
    </row>
    <row r="31" spans="1:13" ht="18" customHeight="1" x14ac:dyDescent="0.2">
      <c r="B31" s="4">
        <v>2</v>
      </c>
      <c r="C31" s="4" t="str">
        <f>IFERROR(INDEX(Assessment!$B$6:$B$109,MATCH(2,Assessment!$J$6:$J$109,0)),"")</f>
        <v>Q3</v>
      </c>
      <c r="D31" s="4" t="str">
        <f>IFERROR(INDEX(Assessment!$C$6:$C$109,MATCH(2,Assessment!$J$6:$J$109,0)),"")</f>
        <v>Identify/Protect</v>
      </c>
      <c r="E31" s="4" t="str">
        <f>IFERROR(INDEX(Assessment!$D$6:$D$109,MATCH(2,Assessment!$J$6:$J$109,0)),"")</f>
        <v>Govern</v>
      </c>
      <c r="F31" s="50" t="str">
        <f>IFERROR(INDEX(Assessment!$E$6:$E$109,MATCH(2,Assessment!$J$6:$J$109,0)),"")</f>
        <v>Insurance coverage includes: data loss / hardware replacement.</v>
      </c>
      <c r="G31" s="51"/>
      <c r="H31" s="51"/>
      <c r="I31" s="51"/>
      <c r="J31" s="51"/>
      <c r="K31" s="51"/>
      <c r="L31" s="51"/>
      <c r="M31" s="42"/>
    </row>
    <row r="32" spans="1:13" ht="18" customHeight="1" x14ac:dyDescent="0.2">
      <c r="B32" s="4">
        <v>3</v>
      </c>
      <c r="C32" s="4" t="str">
        <f>IFERROR(INDEX(Assessment!$B$6:$B$109,MATCH(3,Assessment!$J$6:$J$109,0)),"")</f>
        <v>Q3</v>
      </c>
      <c r="D32" s="4" t="str">
        <f>IFERROR(INDEX(Assessment!$C$6:$C$109,MATCH(3,Assessment!$J$6:$J$109,0)),"")</f>
        <v>Identify/Protect</v>
      </c>
      <c r="E32" s="4" t="str">
        <f>IFERROR(INDEX(Assessment!$D$6:$D$109,MATCH(3,Assessment!$J$6:$J$109,0)),"")</f>
        <v>Govern</v>
      </c>
      <c r="F32" s="50" t="str">
        <f>IFERROR(INDEX(Assessment!$E$6:$E$109,MATCH(3,Assessment!$J$6:$J$109,0)),"")</f>
        <v>Insurance coverage includes: regulatory penalties assistance.</v>
      </c>
      <c r="G32" s="51"/>
      <c r="H32" s="51"/>
      <c r="I32" s="51"/>
      <c r="J32" s="51"/>
      <c r="K32" s="51"/>
      <c r="L32" s="51"/>
      <c r="M32" s="42"/>
    </row>
    <row r="33" spans="1:13" ht="18" customHeight="1" x14ac:dyDescent="0.2">
      <c r="B33" s="4">
        <v>4</v>
      </c>
      <c r="C33" s="4" t="str">
        <f>IFERROR(INDEX(Assessment!$B$6:$B$109,MATCH(4,Assessment!$J$6:$J$109,0)),"")</f>
        <v>Q3</v>
      </c>
      <c r="D33" s="4" t="str">
        <f>IFERROR(INDEX(Assessment!$C$6:$C$109,MATCH(4,Assessment!$J$6:$J$109,0)),"")</f>
        <v>Identify/Protect</v>
      </c>
      <c r="E33" s="4" t="str">
        <f>IFERROR(INDEX(Assessment!$D$6:$D$109,MATCH(4,Assessment!$J$6:$J$109,0)),"")</f>
        <v>Govern</v>
      </c>
      <c r="F33" s="50" t="str">
        <f>IFERROR(INDEX(Assessment!$E$6:$E$109,MATCH(4,Assessment!$J$6:$J$109,0)),"")</f>
        <v>Insurance coverage includes: negotiating/facilitating ransom payments.</v>
      </c>
      <c r="G33" s="51"/>
      <c r="H33" s="51"/>
      <c r="I33" s="51"/>
      <c r="J33" s="51"/>
      <c r="K33" s="51"/>
      <c r="L33" s="51"/>
      <c r="M33" s="42"/>
    </row>
    <row r="34" spans="1:13" ht="18" customHeight="1" x14ac:dyDescent="0.2">
      <c r="B34" s="4">
        <v>5</v>
      </c>
      <c r="C34" s="4" t="str">
        <f>IFERROR(INDEX(Assessment!$B$6:$B$109,MATCH(5,Assessment!$J$6:$J$109,0)),"")</f>
        <v>Q7</v>
      </c>
      <c r="D34" s="4" t="str">
        <f>IFERROR(INDEX(Assessment!$C$6:$C$109,MATCH(5,Assessment!$J$6:$J$109,0)),"")</f>
        <v>Identify/Protect</v>
      </c>
      <c r="E34" s="4" t="str">
        <f>IFERROR(INDEX(Assessment!$D$6:$D$109,MATCH(5,Assessment!$J$6:$J$109,0)),"")</f>
        <v>Identify</v>
      </c>
      <c r="F34" s="50" t="str">
        <f>IFERROR(INDEX(Assessment!$E$6:$E$109,MATCH(5,Assessment!$J$6:$J$109,0)),"")</f>
        <v>Risk assessments identify common attack vectors (phishing, watering holes, malicious ads, third-party apps, attached files, unpatched vulnerabilities).</v>
      </c>
      <c r="G34" s="51"/>
      <c r="H34" s="51"/>
      <c r="I34" s="51"/>
      <c r="J34" s="51"/>
      <c r="K34" s="51"/>
      <c r="L34" s="51"/>
      <c r="M34" s="42"/>
    </row>
    <row r="35" spans="1:13" ht="18" customHeight="1" x14ac:dyDescent="0.2">
      <c r="B35" s="4">
        <v>6</v>
      </c>
      <c r="C35" s="4" t="str">
        <f>IFERROR(INDEX(Assessment!$B$6:$B$109,MATCH(6,Assessment!$J$6:$J$109,0)),"")</f>
        <v>Q11</v>
      </c>
      <c r="D35" s="4" t="str">
        <f>IFERROR(INDEX(Assessment!$C$6:$C$109,MATCH(6,Assessment!$J$6:$J$109,0)),"")</f>
        <v>Identify/Protect</v>
      </c>
      <c r="E35" s="4" t="str">
        <f>IFERROR(INDEX(Assessment!$D$6:$D$109,MATCH(6,Assessment!$J$6:$J$109,0)),"")</f>
        <v>Protect</v>
      </c>
      <c r="F35" s="50" t="str">
        <f>IFERROR(INDEX(Assessment!$E$6:$E$109,MATCH(6,Assessment!$J$6:$J$109,0)),"")</f>
        <v>Institution performs phishing test exercises at least quarterly to measure employee vigilance.</v>
      </c>
      <c r="G35" s="51"/>
      <c r="H35" s="51"/>
      <c r="I35" s="51"/>
      <c r="J35" s="51"/>
      <c r="K35" s="51"/>
      <c r="L35" s="51"/>
      <c r="M35" s="42"/>
    </row>
    <row r="36" spans="1:13" ht="18" customHeight="1" x14ac:dyDescent="0.2">
      <c r="B36" s="4">
        <v>7</v>
      </c>
      <c r="C36" s="4" t="str">
        <f>IFERROR(INDEX(Assessment!$B$6:$B$109,MATCH(7,Assessment!$J$6:$J$109,0)),"")</f>
        <v>Q13</v>
      </c>
      <c r="D36" s="4" t="str">
        <f>IFERROR(INDEX(Assessment!$C$6:$C$109,MATCH(7,Assessment!$J$6:$J$109,0)),"")</f>
        <v>Identify/Protect</v>
      </c>
      <c r="E36" s="4" t="str">
        <f>IFERROR(INDEX(Assessment!$D$6:$D$109,MATCH(7,Assessment!$J$6:$J$109,0)),"")</f>
        <v>Protect</v>
      </c>
      <c r="F36" s="50" t="str">
        <f>IFERROR(INDEX(Assessment!$E$6:$E$109,MATCH(7,Assessment!$J$6:$J$109,0)),"")</f>
        <v>MFA used for: privileged access management (PAM) (domain/application admin access).</v>
      </c>
      <c r="G36" s="51"/>
      <c r="H36" s="51"/>
      <c r="I36" s="51"/>
      <c r="J36" s="51"/>
      <c r="K36" s="51"/>
      <c r="L36" s="51"/>
      <c r="M36" s="42"/>
    </row>
    <row r="37" spans="1:13" ht="18" customHeight="1" x14ac:dyDescent="0.2">
      <c r="B37" s="4">
        <v>8</v>
      </c>
      <c r="C37" s="4" t="str">
        <f>IFERROR(INDEX(Assessment!$B$6:$B$109,MATCH(8,Assessment!$J$6:$J$109,0)),"")</f>
        <v>Q13</v>
      </c>
      <c r="D37" s="4" t="str">
        <f>IFERROR(INDEX(Assessment!$C$6:$C$109,MATCH(8,Assessment!$J$6:$J$109,0)),"")</f>
        <v>Identify/Protect</v>
      </c>
      <c r="E37" s="4" t="str">
        <f>IFERROR(INDEX(Assessment!$D$6:$D$109,MATCH(8,Assessment!$J$6:$J$109,0)),"")</f>
        <v>Protect</v>
      </c>
      <c r="F37" s="50" t="str">
        <f>IFERROR(INDEX(Assessment!$E$6:$E$109,MATCH(8,Assessment!$J$6:$J$109,0)),"")</f>
        <v>MFA used for: internal service accounts.</v>
      </c>
      <c r="G37" s="51"/>
      <c r="H37" s="51"/>
      <c r="I37" s="51"/>
      <c r="J37" s="51"/>
      <c r="K37" s="51"/>
      <c r="L37" s="51"/>
      <c r="M37" s="42"/>
    </row>
    <row r="38" spans="1:13" ht="18" customHeight="1" x14ac:dyDescent="0.2">
      <c r="B38" s="4">
        <v>9</v>
      </c>
      <c r="C38" s="4" t="str">
        <f>IFERROR(INDEX(Assessment!$B$6:$B$109,MATCH(9,Assessment!$J$6:$J$109,0)),"")</f>
        <v>Q14</v>
      </c>
      <c r="D38" s="4" t="str">
        <f>IFERROR(INDEX(Assessment!$C$6:$C$109,MATCH(9,Assessment!$J$6:$J$109,0)),"")</f>
        <v>Identify/Protect</v>
      </c>
      <c r="E38" s="4" t="str">
        <f>IFERROR(INDEX(Assessment!$D$6:$D$109,MATCH(9,Assessment!$J$6:$J$109,0)),"")</f>
        <v>Protect</v>
      </c>
      <c r="F38" s="50" t="str">
        <f>IFERROR(INDEX(Assessment!$E$6:$E$109,MATCH(9,Assessment!$J$6:$J$109,0)),"")</f>
        <v>Technical and administrative controls manage use of removable media (USB drives, portable hard drives, etc.).</v>
      </c>
      <c r="G38" s="51"/>
      <c r="H38" s="51"/>
      <c r="I38" s="51"/>
      <c r="J38" s="51"/>
      <c r="K38" s="51"/>
      <c r="L38" s="51"/>
      <c r="M38" s="42"/>
    </row>
    <row r="39" spans="1:13" ht="18" customHeight="1" x14ac:dyDescent="0.2">
      <c r="B39" s="4">
        <v>10</v>
      </c>
      <c r="C39" s="4" t="str">
        <f>IFERROR(INDEX(Assessment!$B$6:$B$109,MATCH(10,Assessment!$J$6:$J$109,0)),"")</f>
        <v>Q14</v>
      </c>
      <c r="D39" s="4" t="str">
        <f>IFERROR(INDEX(Assessment!$C$6:$C$109,MATCH(10,Assessment!$J$6:$J$109,0)),"")</f>
        <v>Identify/Protect</v>
      </c>
      <c r="E39" s="4" t="str">
        <f>IFERROR(INDEX(Assessment!$D$6:$D$109,MATCH(10,Assessment!$J$6:$J$109,0)),"")</f>
        <v>Protect</v>
      </c>
      <c r="F39" s="50" t="str">
        <f>IFERROR(INDEX(Assessment!$E$6:$E$109,MATCH(10,Assessment!$J$6:$J$109,0)),"")</f>
        <v>“Least privileged access” is applied when granting users access to shared folders and other resources.</v>
      </c>
      <c r="G39" s="51"/>
      <c r="H39" s="51"/>
      <c r="I39" s="51"/>
      <c r="J39" s="51"/>
      <c r="K39" s="51"/>
      <c r="L39" s="51"/>
      <c r="M39" s="42"/>
    </row>
    <row r="40" spans="1:13" ht="18" customHeight="1" x14ac:dyDescent="0.2">
      <c r="B40" s="4">
        <v>11</v>
      </c>
      <c r="C40" s="4" t="str">
        <f>IFERROR(INDEX(Assessment!$B$6:$B$109,MATCH(11,Assessment!$J$6:$J$109,0)),"")</f>
        <v>Q14</v>
      </c>
      <c r="D40" s="4" t="str">
        <f>IFERROR(INDEX(Assessment!$C$6:$C$109,MATCH(11,Assessment!$J$6:$J$109,0)),"")</f>
        <v>Identify/Protect</v>
      </c>
      <c r="E40" s="4" t="str">
        <f>IFERROR(INDEX(Assessment!$D$6:$D$109,MATCH(11,Assessment!$J$6:$J$109,0)),"")</f>
        <v>Protect</v>
      </c>
      <c r="F40" s="50" t="str">
        <f>IFERROR(INDEX(Assessment!$E$6:$E$109,MATCH(11,Assessment!$J$6:$J$109,0)),"")</f>
        <v>Procedures govern the resetting or replacement of authentication credentials for users.</v>
      </c>
      <c r="G40" s="51"/>
      <c r="H40" s="51"/>
      <c r="I40" s="51"/>
      <c r="J40" s="51"/>
      <c r="K40" s="51"/>
      <c r="L40" s="51"/>
      <c r="M40" s="42"/>
    </row>
    <row r="41" spans="1:13" ht="18" customHeight="1" x14ac:dyDescent="0.2">
      <c r="B41" s="4">
        <v>12</v>
      </c>
      <c r="C41" s="4" t="str">
        <f>IFERROR(INDEX(Assessment!$B$6:$B$109,MATCH(12,Assessment!$J$6:$J$109,0)),"")</f>
        <v>Q14</v>
      </c>
      <c r="D41" s="4" t="str">
        <f>IFERROR(INDEX(Assessment!$C$6:$C$109,MATCH(12,Assessment!$J$6:$J$109,0)),"")</f>
        <v>Identify/Protect</v>
      </c>
      <c r="E41" s="4" t="str">
        <f>IFERROR(INDEX(Assessment!$D$6:$D$109,MATCH(12,Assessment!$J$6:$J$109,0)),"")</f>
        <v>Protect</v>
      </c>
      <c r="F41" s="50" t="str">
        <f>IFERROR(INDEX(Assessment!$E$6:$E$109,MATCH(12,Assessment!$J$6:$J$109,0)),"")</f>
        <v>A jump box (bastion host) or administrative VLAN segregates administrative/privileged access to sensitive servers and data.</v>
      </c>
      <c r="G41" s="51"/>
      <c r="H41" s="51"/>
      <c r="I41" s="51"/>
      <c r="J41" s="51"/>
      <c r="K41" s="51"/>
      <c r="L41" s="51"/>
      <c r="M41" s="42"/>
    </row>
    <row r="42" spans="1:13" ht="18" customHeight="1" x14ac:dyDescent="0.2">
      <c r="B42" s="4">
        <v>13</v>
      </c>
      <c r="C42" s="4" t="str">
        <f>IFERROR(INDEX(Assessment!$B$6:$B$109,MATCH(13,Assessment!$J$6:$J$109,0)),"")</f>
        <v>Q14</v>
      </c>
      <c r="D42" s="4" t="str">
        <f>IFERROR(INDEX(Assessment!$C$6:$C$109,MATCH(13,Assessment!$J$6:$J$109,0)),"")</f>
        <v>Identify/Protect</v>
      </c>
      <c r="E42" s="4" t="str">
        <f>IFERROR(INDEX(Assessment!$D$6:$D$109,MATCH(13,Assessment!$J$6:$J$109,0)),"")</f>
        <v>Protect</v>
      </c>
      <c r="F42" s="50" t="str">
        <f>IFERROR(INDEX(Assessment!$E$6:$E$109,MATCH(13,Assessment!$J$6:$J$109,0)),"")</f>
        <v>All unnecessary browser or email client plugins are disabled.</v>
      </c>
      <c r="G42" s="51"/>
      <c r="H42" s="51"/>
      <c r="I42" s="51"/>
      <c r="J42" s="51"/>
      <c r="K42" s="51"/>
      <c r="L42" s="51"/>
      <c r="M42" s="42"/>
    </row>
    <row r="43" spans="1:13" ht="18" customHeight="1" x14ac:dyDescent="0.2">
      <c r="B43" s="4">
        <v>14</v>
      </c>
      <c r="C43" s="4" t="str">
        <f>IFERROR(INDEX(Assessment!$B$6:$B$109,MATCH(14,Assessment!$J$6:$J$109,0)),"")</f>
        <v>Q14</v>
      </c>
      <c r="D43" s="4" t="str">
        <f>IFERROR(INDEX(Assessment!$C$6:$C$109,MATCH(14,Assessment!$J$6:$J$109,0)),"")</f>
        <v>Identify/Protect</v>
      </c>
      <c r="E43" s="4" t="str">
        <f>IFERROR(INDEX(Assessment!$D$6:$D$109,MATCH(14,Assessment!$J$6:$J$109,0)),"")</f>
        <v>Protect</v>
      </c>
      <c r="F43" s="50" t="str">
        <f>IFERROR(INDEX(Assessment!$E$6:$E$109,MATCH(14,Assessment!$J$6:$J$109,0)),"")</f>
        <v>Network segmentation and/or micro-segmentation prevents the spread of ransomware and lateral movement of threat actors.</v>
      </c>
      <c r="G43" s="51"/>
      <c r="H43" s="51"/>
      <c r="I43" s="51"/>
      <c r="J43" s="51"/>
      <c r="K43" s="51"/>
      <c r="L43" s="51"/>
      <c r="M43" s="42"/>
    </row>
    <row r="44" spans="1:13" ht="18" customHeight="1" x14ac:dyDescent="0.2">
      <c r="B44" s="4">
        <v>15</v>
      </c>
      <c r="C44" s="4" t="str">
        <f>IFERROR(INDEX(Assessment!$B$6:$B$109,MATCH(15,Assessment!$J$6:$J$109,0)),"")</f>
        <v>Q16</v>
      </c>
      <c r="D44" s="4" t="str">
        <f>IFERROR(INDEX(Assessment!$C$6:$C$109,MATCH(15,Assessment!$J$6:$J$109,0)),"")</f>
        <v>Detect</v>
      </c>
      <c r="E44" s="4" t="str">
        <f>IFERROR(INDEX(Assessment!$D$6:$D$109,MATCH(15,Assessment!$J$6:$J$109,0)),"")</f>
        <v>Detect</v>
      </c>
      <c r="F44" s="50" t="str">
        <f>IFERROR(INDEX(Assessment!$E$6:$E$109,MATCH(15,Assessment!$J$6:$J$109,0)),"")</f>
        <v>Detection of suspicious file extensions.</v>
      </c>
      <c r="G44" s="51"/>
      <c r="H44" s="51"/>
      <c r="I44" s="51"/>
      <c r="J44" s="51"/>
      <c r="K44" s="51"/>
      <c r="L44" s="51"/>
      <c r="M44" s="42"/>
    </row>
    <row r="46" spans="1:13" ht="20" customHeight="1" x14ac:dyDescent="0.2">
      <c r="A46" s="54" t="s">
        <v>69</v>
      </c>
      <c r="B46" s="40"/>
      <c r="C46" s="40"/>
      <c r="D46" s="40"/>
      <c r="E46" s="40"/>
      <c r="F46" s="40"/>
      <c r="G46" s="40"/>
      <c r="H46" s="40"/>
      <c r="I46" s="40"/>
      <c r="J46" s="40"/>
      <c r="K46" s="40"/>
      <c r="L46" s="40"/>
      <c r="M46" s="40"/>
    </row>
    <row r="47" spans="1:13" ht="22" customHeight="1" x14ac:dyDescent="0.2">
      <c r="B47" s="56" t="s">
        <v>70</v>
      </c>
      <c r="C47" s="57"/>
      <c r="D47" s="57"/>
      <c r="E47" s="57"/>
      <c r="F47" s="57"/>
      <c r="G47" s="57"/>
      <c r="H47" s="57"/>
      <c r="I47" s="57"/>
      <c r="J47" s="57"/>
      <c r="K47" s="57"/>
      <c r="L47" s="57"/>
      <c r="M47" s="58"/>
    </row>
    <row r="48" spans="1:13" x14ac:dyDescent="0.2">
      <c r="B48" s="59"/>
      <c r="C48" s="40"/>
      <c r="D48" s="40"/>
      <c r="E48" s="40"/>
      <c r="F48" s="40"/>
      <c r="G48" s="40"/>
      <c r="H48" s="40"/>
      <c r="I48" s="40"/>
      <c r="J48" s="40"/>
      <c r="K48" s="40"/>
      <c r="L48" s="40"/>
      <c r="M48" s="60"/>
    </row>
    <row r="49" spans="2:13" x14ac:dyDescent="0.2">
      <c r="B49" s="61"/>
      <c r="C49" s="62"/>
      <c r="D49" s="62"/>
      <c r="E49" s="62"/>
      <c r="F49" s="62"/>
      <c r="G49" s="62"/>
      <c r="H49" s="62"/>
      <c r="I49" s="62"/>
      <c r="J49" s="62"/>
      <c r="K49" s="62"/>
      <c r="L49" s="62"/>
      <c r="M49" s="63"/>
    </row>
    <row r="51" spans="2:13" ht="26" customHeight="1" x14ac:dyDescent="0.2">
      <c r="B51" s="43" t="s">
        <v>71</v>
      </c>
      <c r="C51" s="40"/>
      <c r="D51" s="40"/>
      <c r="E51" s="40"/>
      <c r="F51" s="40"/>
      <c r="G51" s="40"/>
      <c r="H51" s="40"/>
      <c r="I51" s="40"/>
      <c r="J51" s="40"/>
      <c r="K51" s="40"/>
      <c r="L51" s="40"/>
      <c r="M51" s="40"/>
    </row>
  </sheetData>
  <mergeCells count="32">
    <mergeCell ref="F32:M32"/>
    <mergeCell ref="F35:M35"/>
    <mergeCell ref="A1:M1"/>
    <mergeCell ref="B51:M51"/>
    <mergeCell ref="F38:M38"/>
    <mergeCell ref="D4:E4"/>
    <mergeCell ref="F31:M31"/>
    <mergeCell ref="A46:M46"/>
    <mergeCell ref="F43:M43"/>
    <mergeCell ref="D5:E7"/>
    <mergeCell ref="B47:M49"/>
    <mergeCell ref="F37:M37"/>
    <mergeCell ref="F39:M39"/>
    <mergeCell ref="A18:M18"/>
    <mergeCell ref="B5:C7"/>
    <mergeCell ref="B4:C4"/>
    <mergeCell ref="F4:G4"/>
    <mergeCell ref="B2:M2"/>
    <mergeCell ref="F44:M44"/>
    <mergeCell ref="F29:M29"/>
    <mergeCell ref="H5:I7"/>
    <mergeCell ref="F34:M34"/>
    <mergeCell ref="H4:I4"/>
    <mergeCell ref="A28:M28"/>
    <mergeCell ref="F40:M40"/>
    <mergeCell ref="F30:M30"/>
    <mergeCell ref="F33:M33"/>
    <mergeCell ref="F5:G7"/>
    <mergeCell ref="F36:M36"/>
    <mergeCell ref="F42:M42"/>
    <mergeCell ref="F41:M41"/>
    <mergeCell ref="A11:M11"/>
  </mergeCells>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08080"/>
  </sheetPr>
  <dimension ref="A2:E34"/>
  <sheetViews>
    <sheetView showGridLines="0" tabSelected="1" topLeftCell="A8" workbookViewId="0">
      <selection activeCell="D20" sqref="D20"/>
    </sheetView>
  </sheetViews>
  <sheetFormatPr baseColWidth="10" defaultColWidth="8.83203125" defaultRowHeight="15" x14ac:dyDescent="0.2"/>
  <cols>
    <col min="1" max="1" width="3" customWidth="1"/>
    <col min="2" max="2" width="26" customWidth="1"/>
    <col min="3" max="3" width="30" customWidth="1"/>
    <col min="4" max="5" width="20" customWidth="1"/>
    <col min="6" max="6" width="3" customWidth="1"/>
  </cols>
  <sheetData>
    <row r="2" spans="1:5" ht="26" customHeight="1" x14ac:dyDescent="0.2">
      <c r="A2" s="47" t="s">
        <v>72</v>
      </c>
      <c r="B2" s="40"/>
      <c r="C2" s="40"/>
      <c r="D2" s="40"/>
      <c r="E2" s="40"/>
    </row>
    <row r="4" spans="1:5" ht="20" customHeight="1" x14ac:dyDescent="0.2">
      <c r="A4" s="39" t="s">
        <v>73</v>
      </c>
      <c r="B4" s="40"/>
      <c r="C4" s="40"/>
      <c r="D4" s="40"/>
      <c r="E4" s="40"/>
    </row>
    <row r="5" spans="1:5" ht="20" customHeight="1" x14ac:dyDescent="0.2">
      <c r="B5" s="9" t="s">
        <v>74</v>
      </c>
      <c r="C5" s="65" t="s">
        <v>289</v>
      </c>
      <c r="D5" s="42"/>
    </row>
    <row r="6" spans="1:5" ht="20" customHeight="1" x14ac:dyDescent="0.2">
      <c r="B6" s="9" t="s">
        <v>75</v>
      </c>
      <c r="C6" s="65" t="s">
        <v>290</v>
      </c>
      <c r="D6" s="42"/>
    </row>
    <row r="7" spans="1:5" ht="20" customHeight="1" x14ac:dyDescent="0.2">
      <c r="B7" s="9" t="s">
        <v>76</v>
      </c>
      <c r="C7" s="65"/>
      <c r="D7" s="42"/>
    </row>
    <row r="8" spans="1:5" ht="20" customHeight="1" x14ac:dyDescent="0.2">
      <c r="B8" s="9" t="s">
        <v>77</v>
      </c>
      <c r="C8" s="67">
        <v>374958</v>
      </c>
      <c r="D8" s="42"/>
    </row>
    <row r="9" spans="1:5" ht="20" customHeight="1" x14ac:dyDescent="0.2">
      <c r="B9" s="9" t="s">
        <v>78</v>
      </c>
      <c r="C9" s="65"/>
      <c r="D9" s="42"/>
    </row>
    <row r="10" spans="1:5" ht="20" customHeight="1" x14ac:dyDescent="0.2">
      <c r="B10" s="9" t="s">
        <v>79</v>
      </c>
      <c r="C10" s="65">
        <v>2026</v>
      </c>
      <c r="D10" s="42"/>
    </row>
    <row r="12" spans="1:5" ht="20" customHeight="1" x14ac:dyDescent="0.2">
      <c r="A12" s="39" t="s">
        <v>80</v>
      </c>
      <c r="B12" s="40"/>
      <c r="C12" s="40"/>
      <c r="D12" s="40"/>
      <c r="E12" s="40"/>
    </row>
    <row r="13" spans="1:5" ht="28" customHeight="1" x14ac:dyDescent="0.2">
      <c r="B13" s="43" t="s">
        <v>81</v>
      </c>
      <c r="C13" s="40"/>
      <c r="D13" s="40"/>
    </row>
    <row r="14" spans="1:5" ht="24" customHeight="1" x14ac:dyDescent="0.2">
      <c r="B14" s="10" t="s">
        <v>82</v>
      </c>
      <c r="C14" s="10" t="s">
        <v>83</v>
      </c>
      <c r="D14" s="10" t="s">
        <v>84</v>
      </c>
      <c r="E14" s="10" t="s">
        <v>85</v>
      </c>
    </row>
    <row r="15" spans="1:5" x14ac:dyDescent="0.2">
      <c r="B15" s="11" t="s">
        <v>86</v>
      </c>
      <c r="C15" s="4"/>
      <c r="D15" s="4" t="s">
        <v>87</v>
      </c>
      <c r="E15" s="4" t="s">
        <v>87</v>
      </c>
    </row>
    <row r="16" spans="1:5" x14ac:dyDescent="0.2">
      <c r="B16" s="11" t="s">
        <v>88</v>
      </c>
      <c r="C16" s="4" t="s">
        <v>87</v>
      </c>
      <c r="D16" s="4" t="s">
        <v>87</v>
      </c>
      <c r="E16" s="4" t="s">
        <v>87</v>
      </c>
    </row>
    <row r="17" spans="1:5" x14ac:dyDescent="0.2">
      <c r="B17" s="11" t="s">
        <v>89</v>
      </c>
      <c r="C17" s="4"/>
      <c r="D17" s="4"/>
      <c r="E17" s="4" t="s">
        <v>87</v>
      </c>
    </row>
    <row r="18" spans="1:5" x14ac:dyDescent="0.2">
      <c r="B18" s="11" t="s">
        <v>90</v>
      </c>
      <c r="C18" s="4" t="s">
        <v>87</v>
      </c>
      <c r="D18" s="4" t="s">
        <v>87</v>
      </c>
      <c r="E18" s="4" t="s">
        <v>87</v>
      </c>
    </row>
    <row r="19" spans="1:5" x14ac:dyDescent="0.2">
      <c r="B19" s="11" t="s">
        <v>91</v>
      </c>
      <c r="C19" s="4"/>
      <c r="D19" s="4" t="s">
        <v>87</v>
      </c>
      <c r="E19" s="4" t="s">
        <v>87</v>
      </c>
    </row>
    <row r="20" spans="1:5" x14ac:dyDescent="0.2">
      <c r="B20" s="11" t="s">
        <v>92</v>
      </c>
      <c r="C20" s="4" t="s">
        <v>87</v>
      </c>
      <c r="D20" s="4"/>
      <c r="E20" s="4" t="s">
        <v>87</v>
      </c>
    </row>
    <row r="21" spans="1:5" x14ac:dyDescent="0.2">
      <c r="B21" s="11" t="s">
        <v>93</v>
      </c>
      <c r="C21" s="4"/>
      <c r="D21" s="4" t="s">
        <v>87</v>
      </c>
      <c r="E21" s="4" t="s">
        <v>87</v>
      </c>
    </row>
    <row r="22" spans="1:5" x14ac:dyDescent="0.2">
      <c r="B22" s="11" t="s">
        <v>94</v>
      </c>
      <c r="C22" s="4"/>
      <c r="D22" s="4"/>
      <c r="E22" s="4"/>
    </row>
    <row r="23" spans="1:5" x14ac:dyDescent="0.2">
      <c r="B23" s="11" t="s">
        <v>95</v>
      </c>
      <c r="C23" s="4"/>
      <c r="D23" s="4"/>
      <c r="E23" s="4"/>
    </row>
    <row r="24" spans="1:5" x14ac:dyDescent="0.2">
      <c r="B24" s="11" t="s">
        <v>96</v>
      </c>
      <c r="C24" s="4"/>
      <c r="D24" s="4"/>
      <c r="E24" s="4"/>
    </row>
    <row r="26" spans="1:5" x14ac:dyDescent="0.2">
      <c r="B26" s="12" t="s">
        <v>97</v>
      </c>
      <c r="C26" s="13">
        <f>COUNTIF(D15:D24,"X")+COUNTIF(E15:E24,"X")</f>
        <v>12</v>
      </c>
    </row>
    <row r="28" spans="1:5" ht="20" customHeight="1" x14ac:dyDescent="0.2">
      <c r="A28" s="39" t="s">
        <v>98</v>
      </c>
      <c r="B28" s="40"/>
      <c r="C28" s="40"/>
      <c r="D28" s="40"/>
      <c r="E28" s="40"/>
    </row>
    <row r="29" spans="1:5" x14ac:dyDescent="0.2">
      <c r="B29" s="64" t="s">
        <v>99</v>
      </c>
      <c r="C29" s="40"/>
      <c r="D29" s="40"/>
    </row>
    <row r="30" spans="1:5" ht="34" customHeight="1" x14ac:dyDescent="0.2">
      <c r="B30" s="66"/>
      <c r="C30" s="51"/>
      <c r="D30" s="42"/>
    </row>
    <row r="31" spans="1:5" x14ac:dyDescent="0.2">
      <c r="B31" s="64" t="s">
        <v>100</v>
      </c>
      <c r="C31" s="40"/>
      <c r="D31" s="40"/>
    </row>
    <row r="32" spans="1:5" ht="34" customHeight="1" x14ac:dyDescent="0.2">
      <c r="B32" s="66"/>
      <c r="C32" s="51"/>
      <c r="D32" s="42"/>
    </row>
    <row r="33" spans="2:4" x14ac:dyDescent="0.2">
      <c r="B33" s="64" t="s">
        <v>101</v>
      </c>
      <c r="C33" s="40"/>
      <c r="D33" s="40"/>
    </row>
    <row r="34" spans="2:4" ht="34" customHeight="1" x14ac:dyDescent="0.2">
      <c r="B34" s="66"/>
      <c r="C34" s="51"/>
      <c r="D34" s="42"/>
    </row>
  </sheetData>
  <mergeCells count="17">
    <mergeCell ref="B34:D34"/>
    <mergeCell ref="A2:E2"/>
    <mergeCell ref="B31:D31"/>
    <mergeCell ref="A28:E28"/>
    <mergeCell ref="B32:D32"/>
    <mergeCell ref="C5:D5"/>
    <mergeCell ref="B13:D13"/>
    <mergeCell ref="B30:D30"/>
    <mergeCell ref="C9:D9"/>
    <mergeCell ref="B29:D29"/>
    <mergeCell ref="C8:D8"/>
    <mergeCell ref="B33:D33"/>
    <mergeCell ref="A12:E12"/>
    <mergeCell ref="A4:E4"/>
    <mergeCell ref="C6:D6"/>
    <mergeCell ref="C7:D7"/>
    <mergeCell ref="C10:D10"/>
  </mergeCells>
  <dataValidations count="1">
    <dataValidation type="list" allowBlank="1" sqref="C15 C16 C17 C18 C19 C20 C21 C22 C23 C24 D15 D16 D17 D18 D19 D20 D21 D22 D23 D24 E15 E16 E17 E18 E19 E20 E21 E22 E23 E24" xr:uid="{00000000-0002-0000-0200-000000000000}">
      <formula1>"X"</formula1>
    </dataValidation>
  </dataValidation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2E5A9C"/>
  </sheetPr>
  <dimension ref="A1:J109"/>
  <sheetViews>
    <sheetView showGridLines="0" workbookViewId="0">
      <pane ySplit="5" topLeftCell="A95" activePane="bottomLeft" state="frozen"/>
      <selection pane="bottomLeft" activeCell="F111" sqref="F111"/>
    </sheetView>
  </sheetViews>
  <sheetFormatPr baseColWidth="10" defaultColWidth="8.83203125" defaultRowHeight="15" x14ac:dyDescent="0.2"/>
  <cols>
    <col min="1" max="1" width="5" customWidth="1"/>
    <col min="2" max="2" width="7" customWidth="1"/>
    <col min="3" max="3" width="16" customWidth="1"/>
    <col min="4" max="4" width="14" customWidth="1"/>
    <col min="5" max="5" width="58" customWidth="1"/>
    <col min="6" max="6" width="11" customWidth="1"/>
    <col min="7" max="8" width="8" customWidth="1"/>
    <col min="9" max="9" width="40" customWidth="1"/>
    <col min="10" max="10" width="8" hidden="1" customWidth="1"/>
  </cols>
  <sheetData>
    <row r="1" spans="1:10" ht="26" customHeight="1" x14ac:dyDescent="0.2">
      <c r="A1" s="47" t="s">
        <v>102</v>
      </c>
      <c r="B1" s="40"/>
      <c r="C1" s="40"/>
      <c r="D1" s="40"/>
      <c r="E1" s="40"/>
      <c r="F1" s="40"/>
      <c r="G1" s="40"/>
      <c r="H1" s="40"/>
      <c r="I1" s="40"/>
    </row>
    <row r="2" spans="1:10" x14ac:dyDescent="0.2">
      <c r="A2" s="68" t="s">
        <v>103</v>
      </c>
      <c r="B2" s="40"/>
      <c r="C2" s="40"/>
      <c r="D2" s="40"/>
      <c r="E2" s="40"/>
      <c r="F2" s="40"/>
      <c r="G2" s="40"/>
      <c r="H2" s="40"/>
      <c r="I2" s="40"/>
    </row>
    <row r="3" spans="1:10" x14ac:dyDescent="0.2">
      <c r="A3" s="46" t="s">
        <v>104</v>
      </c>
      <c r="B3" s="40"/>
      <c r="C3" s="40"/>
      <c r="D3" s="40"/>
      <c r="E3" s="40"/>
      <c r="F3" s="40"/>
      <c r="G3" s="40"/>
      <c r="H3" s="40"/>
      <c r="I3" s="40"/>
    </row>
    <row r="5" spans="1:10" ht="22" customHeight="1" x14ac:dyDescent="0.2">
      <c r="A5" s="14" t="s">
        <v>105</v>
      </c>
      <c r="B5" s="14" t="s">
        <v>65</v>
      </c>
      <c r="C5" s="14" t="s">
        <v>66</v>
      </c>
      <c r="D5" s="14" t="s">
        <v>67</v>
      </c>
      <c r="E5" s="14" t="s">
        <v>68</v>
      </c>
      <c r="F5" s="14" t="s">
        <v>16</v>
      </c>
      <c r="G5" s="14" t="s">
        <v>106</v>
      </c>
      <c r="H5" s="14" t="s">
        <v>107</v>
      </c>
      <c r="I5" s="14" t="s">
        <v>108</v>
      </c>
    </row>
    <row r="6" spans="1:10" ht="30" customHeight="1" x14ac:dyDescent="0.2">
      <c r="A6" s="4">
        <v>1</v>
      </c>
      <c r="B6" s="4" t="s">
        <v>109</v>
      </c>
      <c r="C6" s="15" t="s">
        <v>55</v>
      </c>
      <c r="D6" s="16" t="s">
        <v>62</v>
      </c>
      <c r="E6" s="5" t="s">
        <v>110</v>
      </c>
      <c r="F6" s="4" t="s">
        <v>22</v>
      </c>
      <c r="G6" s="4">
        <f t="shared" ref="G6:G37" si="0">IF(F6="Yes",2,IF(F6="Partial",1,IF(F6="No",0,"")))</f>
        <v>1</v>
      </c>
      <c r="H6" s="4">
        <f t="shared" ref="H6:H37" si="1">IF(F6="N/A","",IF(F6="","",2))</f>
        <v>2</v>
      </c>
      <c r="I6" s="17"/>
      <c r="J6" t="str">
        <f>IF(F6="No",COUNTIF($F$6:F6,"No"),"")</f>
        <v/>
      </c>
    </row>
    <row r="7" spans="1:10" ht="30" customHeight="1" x14ac:dyDescent="0.2">
      <c r="A7" s="4">
        <v>2</v>
      </c>
      <c r="B7" s="4" t="s">
        <v>109</v>
      </c>
      <c r="C7" s="15" t="s">
        <v>55</v>
      </c>
      <c r="D7" s="18" t="s">
        <v>60</v>
      </c>
      <c r="E7" s="5" t="s">
        <v>111</v>
      </c>
      <c r="F7" s="4" t="s">
        <v>22</v>
      </c>
      <c r="G7" s="4">
        <f t="shared" si="0"/>
        <v>1</v>
      </c>
      <c r="H7" s="4">
        <f t="shared" si="1"/>
        <v>2</v>
      </c>
      <c r="I7" s="17"/>
      <c r="J7" t="str">
        <f>IF(F7="No",COUNTIF($F$6:F7,"No"),"")</f>
        <v/>
      </c>
    </row>
    <row r="8" spans="1:10" ht="30" customHeight="1" x14ac:dyDescent="0.2">
      <c r="A8" s="4">
        <v>3</v>
      </c>
      <c r="B8" s="4" t="s">
        <v>109</v>
      </c>
      <c r="C8" s="15" t="s">
        <v>55</v>
      </c>
      <c r="D8" s="18" t="s">
        <v>60</v>
      </c>
      <c r="E8" s="5" t="s">
        <v>112</v>
      </c>
      <c r="F8" s="4" t="s">
        <v>28</v>
      </c>
      <c r="G8" s="4" t="str">
        <f t="shared" si="0"/>
        <v/>
      </c>
      <c r="H8" s="4" t="str">
        <f t="shared" si="1"/>
        <v/>
      </c>
      <c r="I8" s="17"/>
      <c r="J8" t="str">
        <f>IF(F8="No",COUNTIF($F$6:F8,"No"),"")</f>
        <v/>
      </c>
    </row>
    <row r="9" spans="1:10" ht="30" customHeight="1" x14ac:dyDescent="0.2">
      <c r="A9" s="4">
        <v>4</v>
      </c>
      <c r="B9" s="4" t="s">
        <v>109</v>
      </c>
      <c r="C9" s="15" t="s">
        <v>55</v>
      </c>
      <c r="D9" s="18" t="s">
        <v>60</v>
      </c>
      <c r="E9" s="5" t="s">
        <v>113</v>
      </c>
      <c r="F9" s="4" t="s">
        <v>28</v>
      </c>
      <c r="G9" s="4" t="str">
        <f t="shared" si="0"/>
        <v/>
      </c>
      <c r="H9" s="4" t="str">
        <f t="shared" si="1"/>
        <v/>
      </c>
      <c r="I9" s="17"/>
      <c r="J9" t="str">
        <f>IF(F9="No",COUNTIF($F$6:F9,"No"),"")</f>
        <v/>
      </c>
    </row>
    <row r="10" spans="1:10" ht="30" customHeight="1" x14ac:dyDescent="0.2">
      <c r="A10" s="4">
        <v>5</v>
      </c>
      <c r="B10" s="4" t="s">
        <v>109</v>
      </c>
      <c r="C10" s="15" t="s">
        <v>55</v>
      </c>
      <c r="D10" s="18" t="s">
        <v>60</v>
      </c>
      <c r="E10" s="5" t="s">
        <v>114</v>
      </c>
      <c r="F10" s="4" t="s">
        <v>19</v>
      </c>
      <c r="G10" s="4">
        <f t="shared" si="0"/>
        <v>2</v>
      </c>
      <c r="H10" s="4">
        <f t="shared" si="1"/>
        <v>2</v>
      </c>
      <c r="I10" s="17"/>
      <c r="J10" t="str">
        <f>IF(F10="No",COUNTIF($F$6:F10,"No"),"")</f>
        <v/>
      </c>
    </row>
    <row r="11" spans="1:10" ht="30" customHeight="1" x14ac:dyDescent="0.2">
      <c r="A11" s="4">
        <v>6</v>
      </c>
      <c r="B11" s="4" t="s">
        <v>109</v>
      </c>
      <c r="C11" s="15" t="s">
        <v>55</v>
      </c>
      <c r="D11" s="18" t="s">
        <v>60</v>
      </c>
      <c r="E11" s="5" t="s">
        <v>115</v>
      </c>
      <c r="F11" s="4" t="s">
        <v>19</v>
      </c>
      <c r="G11" s="4">
        <f t="shared" si="0"/>
        <v>2</v>
      </c>
      <c r="H11" s="4">
        <f t="shared" si="1"/>
        <v>2</v>
      </c>
      <c r="I11" s="17"/>
      <c r="J11" t="str">
        <f>IF(F11="No",COUNTIF($F$6:F11,"No"),"")</f>
        <v/>
      </c>
    </row>
    <row r="12" spans="1:10" ht="30" customHeight="1" x14ac:dyDescent="0.2">
      <c r="A12" s="4">
        <v>7</v>
      </c>
      <c r="B12" s="4" t="s">
        <v>109</v>
      </c>
      <c r="C12" s="15" t="s">
        <v>55</v>
      </c>
      <c r="D12" s="18" t="s">
        <v>60</v>
      </c>
      <c r="E12" s="5" t="s">
        <v>116</v>
      </c>
      <c r="F12" s="4" t="s">
        <v>22</v>
      </c>
      <c r="G12" s="4">
        <f t="shared" si="0"/>
        <v>1</v>
      </c>
      <c r="H12" s="4">
        <f t="shared" si="1"/>
        <v>2</v>
      </c>
      <c r="I12" s="17"/>
      <c r="J12" t="str">
        <f>IF(F12="No",COUNTIF($F$6:F12,"No"),"")</f>
        <v/>
      </c>
    </row>
    <row r="13" spans="1:10" ht="30" customHeight="1" x14ac:dyDescent="0.2">
      <c r="A13" s="4">
        <v>8</v>
      </c>
      <c r="B13" s="4" t="s">
        <v>109</v>
      </c>
      <c r="C13" s="15" t="s">
        <v>55</v>
      </c>
      <c r="D13" s="18" t="s">
        <v>60</v>
      </c>
      <c r="E13" s="5" t="s">
        <v>117</v>
      </c>
      <c r="F13" s="4" t="s">
        <v>28</v>
      </c>
      <c r="G13" s="4" t="str">
        <f t="shared" si="0"/>
        <v/>
      </c>
      <c r="H13" s="4" t="str">
        <f t="shared" si="1"/>
        <v/>
      </c>
      <c r="I13" s="17"/>
      <c r="J13" t="str">
        <f>IF(F13="No",COUNTIF($F$6:F13,"No"),"")</f>
        <v/>
      </c>
    </row>
    <row r="14" spans="1:10" ht="30" customHeight="1" x14ac:dyDescent="0.2">
      <c r="A14" s="4">
        <v>9</v>
      </c>
      <c r="B14" s="4" t="s">
        <v>109</v>
      </c>
      <c r="C14" s="15" t="s">
        <v>55</v>
      </c>
      <c r="D14" s="18" t="s">
        <v>60</v>
      </c>
      <c r="E14" s="5" t="s">
        <v>118</v>
      </c>
      <c r="F14" s="4" t="s">
        <v>19</v>
      </c>
      <c r="G14" s="4">
        <f t="shared" si="0"/>
        <v>2</v>
      </c>
      <c r="H14" s="4">
        <f t="shared" si="1"/>
        <v>2</v>
      </c>
      <c r="I14" s="17"/>
      <c r="J14" t="str">
        <f>IF(F14="No",COUNTIF($F$6:F14,"No"),"")</f>
        <v/>
      </c>
    </row>
    <row r="15" spans="1:10" ht="30" customHeight="1" x14ac:dyDescent="0.2">
      <c r="A15" s="4">
        <v>10</v>
      </c>
      <c r="B15" s="4" t="s">
        <v>119</v>
      </c>
      <c r="C15" s="15" t="s">
        <v>55</v>
      </c>
      <c r="D15" s="18" t="s">
        <v>60</v>
      </c>
      <c r="E15" s="5" t="s">
        <v>120</v>
      </c>
      <c r="F15" s="4" t="s">
        <v>22</v>
      </c>
      <c r="G15" s="4">
        <f t="shared" si="0"/>
        <v>1</v>
      </c>
      <c r="H15" s="4">
        <f t="shared" si="1"/>
        <v>2</v>
      </c>
      <c r="I15" s="17"/>
      <c r="J15" t="str">
        <f>IF(F15="No",COUNTIF($F$6:F15,"No"),"")</f>
        <v/>
      </c>
    </row>
    <row r="16" spans="1:10" ht="30" customHeight="1" x14ac:dyDescent="0.2">
      <c r="A16" s="4">
        <v>11</v>
      </c>
      <c r="B16" s="4" t="s">
        <v>119</v>
      </c>
      <c r="C16" s="15" t="s">
        <v>55</v>
      </c>
      <c r="D16" s="18" t="s">
        <v>60</v>
      </c>
      <c r="E16" s="5" t="s">
        <v>121</v>
      </c>
      <c r="F16" s="4" t="s">
        <v>22</v>
      </c>
      <c r="G16" s="4">
        <f t="shared" si="0"/>
        <v>1</v>
      </c>
      <c r="H16" s="4">
        <f t="shared" si="1"/>
        <v>2</v>
      </c>
      <c r="I16" s="17"/>
      <c r="J16" t="str">
        <f>IF(F16="No",COUNTIF($F$6:F16,"No"),"")</f>
        <v/>
      </c>
    </row>
    <row r="17" spans="1:10" ht="30" customHeight="1" x14ac:dyDescent="0.2">
      <c r="A17" s="4">
        <v>12</v>
      </c>
      <c r="B17" s="4" t="s">
        <v>122</v>
      </c>
      <c r="C17" s="15" t="s">
        <v>55</v>
      </c>
      <c r="D17" s="18" t="s">
        <v>60</v>
      </c>
      <c r="E17" s="5" t="s">
        <v>123</v>
      </c>
      <c r="F17" s="4" t="s">
        <v>19</v>
      </c>
      <c r="G17" s="4">
        <f t="shared" si="0"/>
        <v>2</v>
      </c>
      <c r="H17" s="4">
        <f t="shared" si="1"/>
        <v>2</v>
      </c>
      <c r="I17" s="17"/>
      <c r="J17" t="str">
        <f>IF(F17="No",COUNTIF($F$6:F17,"No"),"")</f>
        <v/>
      </c>
    </row>
    <row r="18" spans="1:10" ht="30" customHeight="1" x14ac:dyDescent="0.2">
      <c r="A18" s="4">
        <v>13</v>
      </c>
      <c r="B18" s="4" t="s">
        <v>122</v>
      </c>
      <c r="C18" s="15" t="s">
        <v>55</v>
      </c>
      <c r="D18" s="18" t="s">
        <v>60</v>
      </c>
      <c r="E18" s="5" t="s">
        <v>124</v>
      </c>
      <c r="F18" s="4" t="s">
        <v>25</v>
      </c>
      <c r="G18" s="4">
        <f t="shared" si="0"/>
        <v>0</v>
      </c>
      <c r="H18" s="4">
        <f t="shared" si="1"/>
        <v>2</v>
      </c>
      <c r="I18" s="17"/>
      <c r="J18">
        <f>IF(F18="No",COUNTIF($F$6:F18,"No"),"")</f>
        <v>1</v>
      </c>
    </row>
    <row r="19" spans="1:10" ht="30" customHeight="1" x14ac:dyDescent="0.2">
      <c r="A19" s="4">
        <v>14</v>
      </c>
      <c r="B19" s="4" t="s">
        <v>122</v>
      </c>
      <c r="C19" s="15" t="s">
        <v>55</v>
      </c>
      <c r="D19" s="18" t="s">
        <v>60</v>
      </c>
      <c r="E19" s="5" t="s">
        <v>125</v>
      </c>
      <c r="F19" s="4" t="s">
        <v>19</v>
      </c>
      <c r="G19" s="4">
        <f t="shared" si="0"/>
        <v>2</v>
      </c>
      <c r="H19" s="4">
        <f t="shared" si="1"/>
        <v>2</v>
      </c>
      <c r="I19" s="17"/>
      <c r="J19" t="str">
        <f>IF(F19="No",COUNTIF($F$6:F19,"No"),"")</f>
        <v/>
      </c>
    </row>
    <row r="20" spans="1:10" ht="30" customHeight="1" x14ac:dyDescent="0.2">
      <c r="A20" s="4">
        <v>15</v>
      </c>
      <c r="B20" s="4" t="s">
        <v>122</v>
      </c>
      <c r="C20" s="15" t="s">
        <v>55</v>
      </c>
      <c r="D20" s="18" t="s">
        <v>60</v>
      </c>
      <c r="E20" s="5" t="s">
        <v>126</v>
      </c>
      <c r="F20" s="4" t="s">
        <v>19</v>
      </c>
      <c r="G20" s="4">
        <f t="shared" si="0"/>
        <v>2</v>
      </c>
      <c r="H20" s="4">
        <f t="shared" si="1"/>
        <v>2</v>
      </c>
      <c r="I20" s="17"/>
      <c r="J20" t="str">
        <f>IF(F20="No",COUNTIF($F$6:F20,"No"),"")</f>
        <v/>
      </c>
    </row>
    <row r="21" spans="1:10" ht="30" customHeight="1" x14ac:dyDescent="0.2">
      <c r="A21" s="4">
        <v>16</v>
      </c>
      <c r="B21" s="4" t="s">
        <v>122</v>
      </c>
      <c r="C21" s="15" t="s">
        <v>55</v>
      </c>
      <c r="D21" s="18" t="s">
        <v>60</v>
      </c>
      <c r="E21" s="5" t="s">
        <v>127</v>
      </c>
      <c r="F21" s="4" t="s">
        <v>25</v>
      </c>
      <c r="G21" s="4">
        <f t="shared" si="0"/>
        <v>0</v>
      </c>
      <c r="H21" s="4">
        <f t="shared" si="1"/>
        <v>2</v>
      </c>
      <c r="I21" s="17"/>
      <c r="J21">
        <f>IF(F21="No",COUNTIF($F$6:F21,"No"),"")</f>
        <v>2</v>
      </c>
    </row>
    <row r="22" spans="1:10" ht="30" customHeight="1" x14ac:dyDescent="0.2">
      <c r="A22" s="4">
        <v>17</v>
      </c>
      <c r="B22" s="4" t="s">
        <v>122</v>
      </c>
      <c r="C22" s="15" t="s">
        <v>55</v>
      </c>
      <c r="D22" s="18" t="s">
        <v>60</v>
      </c>
      <c r="E22" s="5" t="s">
        <v>128</v>
      </c>
      <c r="F22" s="4" t="s">
        <v>19</v>
      </c>
      <c r="G22" s="4">
        <f t="shared" si="0"/>
        <v>2</v>
      </c>
      <c r="H22" s="4">
        <f t="shared" si="1"/>
        <v>2</v>
      </c>
      <c r="I22" s="17"/>
      <c r="J22" t="str">
        <f>IF(F22="No",COUNTIF($F$6:F22,"No"),"")</f>
        <v/>
      </c>
    </row>
    <row r="23" spans="1:10" ht="30" customHeight="1" x14ac:dyDescent="0.2">
      <c r="A23" s="4">
        <v>18</v>
      </c>
      <c r="B23" s="4" t="s">
        <v>122</v>
      </c>
      <c r="C23" s="15" t="s">
        <v>55</v>
      </c>
      <c r="D23" s="18" t="s">
        <v>60</v>
      </c>
      <c r="E23" s="5" t="s">
        <v>129</v>
      </c>
      <c r="F23" s="4" t="s">
        <v>25</v>
      </c>
      <c r="G23" s="4">
        <f t="shared" si="0"/>
        <v>0</v>
      </c>
      <c r="H23" s="4">
        <f t="shared" si="1"/>
        <v>2</v>
      </c>
      <c r="I23" s="17"/>
      <c r="J23">
        <f>IF(F23="No",COUNTIF($F$6:F23,"No"),"")</f>
        <v>3</v>
      </c>
    </row>
    <row r="24" spans="1:10" ht="30" customHeight="1" x14ac:dyDescent="0.2">
      <c r="A24" s="4">
        <v>19</v>
      </c>
      <c r="B24" s="4" t="s">
        <v>122</v>
      </c>
      <c r="C24" s="15" t="s">
        <v>55</v>
      </c>
      <c r="D24" s="18" t="s">
        <v>60</v>
      </c>
      <c r="E24" s="5" t="s">
        <v>130</v>
      </c>
      <c r="F24" s="4" t="s">
        <v>19</v>
      </c>
      <c r="G24" s="4">
        <f t="shared" si="0"/>
        <v>2</v>
      </c>
      <c r="H24" s="4">
        <f t="shared" si="1"/>
        <v>2</v>
      </c>
      <c r="I24" s="17"/>
      <c r="J24" t="str">
        <f>IF(F24="No",COUNTIF($F$6:F24,"No"),"")</f>
        <v/>
      </c>
    </row>
    <row r="25" spans="1:10" ht="30" customHeight="1" x14ac:dyDescent="0.2">
      <c r="A25" s="4">
        <v>20</v>
      </c>
      <c r="B25" s="4" t="s">
        <v>122</v>
      </c>
      <c r="C25" s="15" t="s">
        <v>55</v>
      </c>
      <c r="D25" s="18" t="s">
        <v>60</v>
      </c>
      <c r="E25" s="5" t="s">
        <v>131</v>
      </c>
      <c r="F25" s="4" t="s">
        <v>19</v>
      </c>
      <c r="G25" s="4">
        <f t="shared" si="0"/>
        <v>2</v>
      </c>
      <c r="H25" s="4">
        <f t="shared" si="1"/>
        <v>2</v>
      </c>
      <c r="I25" s="17"/>
      <c r="J25" t="str">
        <f>IF(F25="No",COUNTIF($F$6:F25,"No"),"")</f>
        <v/>
      </c>
    </row>
    <row r="26" spans="1:10" ht="30" customHeight="1" x14ac:dyDescent="0.2">
      <c r="A26" s="4">
        <v>21</v>
      </c>
      <c r="B26" s="4" t="s">
        <v>122</v>
      </c>
      <c r="C26" s="15" t="s">
        <v>55</v>
      </c>
      <c r="D26" s="18" t="s">
        <v>60</v>
      </c>
      <c r="E26" s="5" t="s">
        <v>132</v>
      </c>
      <c r="F26" s="4" t="s">
        <v>25</v>
      </c>
      <c r="G26" s="4">
        <f t="shared" si="0"/>
        <v>0</v>
      </c>
      <c r="H26" s="4">
        <f t="shared" si="1"/>
        <v>2</v>
      </c>
      <c r="I26" s="17"/>
      <c r="J26">
        <f>IF(F26="No",COUNTIF($F$6:F26,"No"),"")</f>
        <v>4</v>
      </c>
    </row>
    <row r="27" spans="1:10" ht="30" customHeight="1" x14ac:dyDescent="0.2">
      <c r="A27" s="4">
        <v>22</v>
      </c>
      <c r="B27" s="4" t="s">
        <v>122</v>
      </c>
      <c r="C27" s="15" t="s">
        <v>55</v>
      </c>
      <c r="D27" s="18" t="s">
        <v>60</v>
      </c>
      <c r="E27" s="5" t="s">
        <v>133</v>
      </c>
      <c r="F27" s="4" t="s">
        <v>19</v>
      </c>
      <c r="G27" s="4">
        <f t="shared" si="0"/>
        <v>2</v>
      </c>
      <c r="H27" s="4">
        <f t="shared" si="1"/>
        <v>2</v>
      </c>
      <c r="I27" s="17"/>
      <c r="J27" t="str">
        <f>IF(F27="No",COUNTIF($F$6:F27,"No"),"")</f>
        <v/>
      </c>
    </row>
    <row r="28" spans="1:10" ht="30" customHeight="1" x14ac:dyDescent="0.2">
      <c r="A28" s="4">
        <v>23</v>
      </c>
      <c r="B28" s="4" t="s">
        <v>122</v>
      </c>
      <c r="C28" s="15" t="s">
        <v>55</v>
      </c>
      <c r="D28" s="18" t="s">
        <v>60</v>
      </c>
      <c r="E28" s="5" t="s">
        <v>134</v>
      </c>
      <c r="F28" s="4" t="s">
        <v>28</v>
      </c>
      <c r="G28" s="4" t="str">
        <f t="shared" si="0"/>
        <v/>
      </c>
      <c r="H28" s="4" t="str">
        <f t="shared" si="1"/>
        <v/>
      </c>
      <c r="I28" s="17"/>
      <c r="J28" t="str">
        <f>IF(F28="No",COUNTIF($F$6:F28,"No"),"")</f>
        <v/>
      </c>
    </row>
    <row r="29" spans="1:10" ht="30" customHeight="1" x14ac:dyDescent="0.2">
      <c r="A29" s="4">
        <v>24</v>
      </c>
      <c r="B29" s="4" t="s">
        <v>122</v>
      </c>
      <c r="C29" s="15" t="s">
        <v>55</v>
      </c>
      <c r="D29" s="18" t="s">
        <v>60</v>
      </c>
      <c r="E29" s="5" t="s">
        <v>135</v>
      </c>
      <c r="F29" s="4" t="s">
        <v>19</v>
      </c>
      <c r="G29" s="4">
        <f t="shared" si="0"/>
        <v>2</v>
      </c>
      <c r="H29" s="4">
        <f t="shared" si="1"/>
        <v>2</v>
      </c>
      <c r="I29" s="17"/>
      <c r="J29" t="str">
        <f>IF(F29="No",COUNTIF($F$6:F29,"No"),"")</f>
        <v/>
      </c>
    </row>
    <row r="30" spans="1:10" ht="30" customHeight="1" x14ac:dyDescent="0.2">
      <c r="A30" s="4">
        <v>25</v>
      </c>
      <c r="B30" s="4" t="s">
        <v>122</v>
      </c>
      <c r="C30" s="15" t="s">
        <v>55</v>
      </c>
      <c r="D30" s="18" t="s">
        <v>60</v>
      </c>
      <c r="E30" s="5" t="s">
        <v>136</v>
      </c>
      <c r="F30" s="4" t="s">
        <v>19</v>
      </c>
      <c r="G30" s="4">
        <f t="shared" si="0"/>
        <v>2</v>
      </c>
      <c r="H30" s="4">
        <f t="shared" si="1"/>
        <v>2</v>
      </c>
      <c r="I30" s="17"/>
      <c r="J30" t="str">
        <f>IF(F30="No",COUNTIF($F$6:F30,"No"),"")</f>
        <v/>
      </c>
    </row>
    <row r="31" spans="1:10" ht="30" customHeight="1" x14ac:dyDescent="0.2">
      <c r="A31" s="4">
        <v>26</v>
      </c>
      <c r="B31" s="4" t="s">
        <v>137</v>
      </c>
      <c r="C31" s="15" t="s">
        <v>55</v>
      </c>
      <c r="D31" s="18" t="s">
        <v>60</v>
      </c>
      <c r="E31" s="5" t="s">
        <v>138</v>
      </c>
      <c r="F31" s="4" t="s">
        <v>28</v>
      </c>
      <c r="G31" s="4" t="str">
        <f t="shared" si="0"/>
        <v/>
      </c>
      <c r="H31" s="4" t="str">
        <f t="shared" si="1"/>
        <v/>
      </c>
      <c r="I31" s="17"/>
      <c r="J31" t="str">
        <f>IF(F31="No",COUNTIF($F$6:F31,"No"),"")</f>
        <v/>
      </c>
    </row>
    <row r="32" spans="1:10" ht="30" customHeight="1" x14ac:dyDescent="0.2">
      <c r="A32" s="4">
        <v>27</v>
      </c>
      <c r="B32" s="4" t="s">
        <v>139</v>
      </c>
      <c r="C32" s="15" t="s">
        <v>55</v>
      </c>
      <c r="D32" s="18" t="s">
        <v>60</v>
      </c>
      <c r="E32" s="5" t="s">
        <v>140</v>
      </c>
      <c r="F32" s="4" t="s">
        <v>22</v>
      </c>
      <c r="G32" s="4">
        <f t="shared" si="0"/>
        <v>1</v>
      </c>
      <c r="H32" s="4">
        <f t="shared" si="1"/>
        <v>2</v>
      </c>
      <c r="I32" s="17"/>
      <c r="J32" t="str">
        <f>IF(F32="No",COUNTIF($F$6:F32,"No"),"")</f>
        <v/>
      </c>
    </row>
    <row r="33" spans="1:10" ht="30" customHeight="1" x14ac:dyDescent="0.2">
      <c r="A33" s="4">
        <v>28</v>
      </c>
      <c r="B33" s="4" t="s">
        <v>139</v>
      </c>
      <c r="C33" s="15" t="s">
        <v>55</v>
      </c>
      <c r="D33" s="18" t="s">
        <v>60</v>
      </c>
      <c r="E33" s="5" t="s">
        <v>141</v>
      </c>
      <c r="F33" s="4" t="s">
        <v>22</v>
      </c>
      <c r="G33" s="4">
        <f t="shared" si="0"/>
        <v>1</v>
      </c>
      <c r="H33" s="4">
        <f t="shared" si="1"/>
        <v>2</v>
      </c>
      <c r="I33" s="17"/>
      <c r="J33" t="str">
        <f>IF(F33="No",COUNTIF($F$6:F33,"No"),"")</f>
        <v/>
      </c>
    </row>
    <row r="34" spans="1:10" ht="30" customHeight="1" x14ac:dyDescent="0.2">
      <c r="A34" s="4">
        <v>29</v>
      </c>
      <c r="B34" s="4" t="s">
        <v>142</v>
      </c>
      <c r="C34" s="15" t="s">
        <v>55</v>
      </c>
      <c r="D34" s="16" t="s">
        <v>61</v>
      </c>
      <c r="E34" s="5" t="s">
        <v>143</v>
      </c>
      <c r="F34" s="4" t="s">
        <v>19</v>
      </c>
      <c r="G34" s="4">
        <f t="shared" si="0"/>
        <v>2</v>
      </c>
      <c r="H34" s="4">
        <f t="shared" si="1"/>
        <v>2</v>
      </c>
      <c r="I34" s="17"/>
      <c r="J34" t="str">
        <f>IF(F34="No",COUNTIF($F$6:F34,"No"),"")</f>
        <v/>
      </c>
    </row>
    <row r="35" spans="1:10" ht="30" customHeight="1" x14ac:dyDescent="0.2">
      <c r="A35" s="4">
        <v>30</v>
      </c>
      <c r="B35" s="4" t="s">
        <v>142</v>
      </c>
      <c r="C35" s="15" t="s">
        <v>55</v>
      </c>
      <c r="D35" s="16" t="s">
        <v>61</v>
      </c>
      <c r="E35" s="5" t="s">
        <v>144</v>
      </c>
      <c r="F35" s="4" t="s">
        <v>25</v>
      </c>
      <c r="G35" s="4">
        <f t="shared" si="0"/>
        <v>0</v>
      </c>
      <c r="H35" s="4">
        <f t="shared" si="1"/>
        <v>2</v>
      </c>
      <c r="I35" s="17"/>
      <c r="J35">
        <f>IF(F35="No",COUNTIF($F$6:F35,"No"),"")</f>
        <v>5</v>
      </c>
    </row>
    <row r="36" spans="1:10" ht="30" customHeight="1" x14ac:dyDescent="0.2">
      <c r="A36" s="4">
        <v>31</v>
      </c>
      <c r="B36" s="4" t="s">
        <v>145</v>
      </c>
      <c r="C36" s="15" t="s">
        <v>55</v>
      </c>
      <c r="D36" s="16" t="s">
        <v>61</v>
      </c>
      <c r="E36" s="5" t="s">
        <v>146</v>
      </c>
      <c r="F36" s="4" t="s">
        <v>19</v>
      </c>
      <c r="G36" s="4">
        <f t="shared" si="0"/>
        <v>2</v>
      </c>
      <c r="H36" s="4">
        <f t="shared" si="1"/>
        <v>2</v>
      </c>
      <c r="I36" s="17"/>
      <c r="J36" t="str">
        <f>IF(F36="No",COUNTIF($F$6:F36,"No"),"")</f>
        <v/>
      </c>
    </row>
    <row r="37" spans="1:10" ht="30" customHeight="1" x14ac:dyDescent="0.2">
      <c r="A37" s="4">
        <v>32</v>
      </c>
      <c r="B37" s="4" t="s">
        <v>147</v>
      </c>
      <c r="C37" s="15" t="s">
        <v>55</v>
      </c>
      <c r="D37" s="16" t="s">
        <v>62</v>
      </c>
      <c r="E37" s="5" t="s">
        <v>148</v>
      </c>
      <c r="F37" s="4" t="s">
        <v>19</v>
      </c>
      <c r="G37" s="4">
        <f t="shared" si="0"/>
        <v>2</v>
      </c>
      <c r="H37" s="4">
        <f t="shared" si="1"/>
        <v>2</v>
      </c>
      <c r="I37" s="17"/>
      <c r="J37" t="str">
        <f>IF(F37="No",COUNTIF($F$6:F37,"No"),"")</f>
        <v/>
      </c>
    </row>
    <row r="38" spans="1:10" ht="30" customHeight="1" x14ac:dyDescent="0.2">
      <c r="A38" s="4">
        <v>33</v>
      </c>
      <c r="B38" s="4" t="s">
        <v>149</v>
      </c>
      <c r="C38" s="15" t="s">
        <v>55</v>
      </c>
      <c r="D38" s="16" t="s">
        <v>62</v>
      </c>
      <c r="E38" s="5" t="s">
        <v>150</v>
      </c>
      <c r="F38" s="4" t="s">
        <v>19</v>
      </c>
      <c r="G38" s="4">
        <f t="shared" ref="G38:G69" si="2">IF(F38="Yes",2,IF(F38="Partial",1,IF(F38="No",0,"")))</f>
        <v>2</v>
      </c>
      <c r="H38" s="4">
        <f t="shared" ref="H38:H69" si="3">IF(F38="N/A","",IF(F38="","",2))</f>
        <v>2</v>
      </c>
      <c r="I38" s="17"/>
      <c r="J38" t="str">
        <f>IF(F38="No",COUNTIF($F$6:F38,"No"),"")</f>
        <v/>
      </c>
    </row>
    <row r="39" spans="1:10" ht="30" customHeight="1" x14ac:dyDescent="0.2">
      <c r="A39" s="4">
        <v>34</v>
      </c>
      <c r="B39" s="4" t="s">
        <v>149</v>
      </c>
      <c r="C39" s="15" t="s">
        <v>55</v>
      </c>
      <c r="D39" s="16" t="s">
        <v>62</v>
      </c>
      <c r="E39" s="5" t="s">
        <v>151</v>
      </c>
      <c r="F39" s="4" t="s">
        <v>19</v>
      </c>
      <c r="G39" s="4">
        <f t="shared" si="2"/>
        <v>2</v>
      </c>
      <c r="H39" s="4">
        <f t="shared" si="3"/>
        <v>2</v>
      </c>
      <c r="I39" s="17"/>
      <c r="J39" t="str">
        <f>IF(F39="No",COUNTIF($F$6:F39,"No"),"")</f>
        <v/>
      </c>
    </row>
    <row r="40" spans="1:10" ht="30" customHeight="1" x14ac:dyDescent="0.2">
      <c r="A40" s="4">
        <v>35</v>
      </c>
      <c r="B40" s="4" t="s">
        <v>149</v>
      </c>
      <c r="C40" s="15" t="s">
        <v>55</v>
      </c>
      <c r="D40" s="16" t="s">
        <v>62</v>
      </c>
      <c r="E40" s="5" t="s">
        <v>152</v>
      </c>
      <c r="F40" s="4" t="s">
        <v>19</v>
      </c>
      <c r="G40" s="4">
        <f t="shared" si="2"/>
        <v>2</v>
      </c>
      <c r="H40" s="4">
        <f t="shared" si="3"/>
        <v>2</v>
      </c>
      <c r="I40" s="17"/>
      <c r="J40" t="str">
        <f>IF(F40="No",COUNTIF($F$6:F40,"No"),"")</f>
        <v/>
      </c>
    </row>
    <row r="41" spans="1:10" ht="30" customHeight="1" x14ac:dyDescent="0.2">
      <c r="A41" s="4">
        <v>36</v>
      </c>
      <c r="B41" s="4" t="s">
        <v>149</v>
      </c>
      <c r="C41" s="15" t="s">
        <v>55</v>
      </c>
      <c r="D41" s="16" t="s">
        <v>62</v>
      </c>
      <c r="E41" s="5" t="s">
        <v>153</v>
      </c>
      <c r="F41" s="4" t="s">
        <v>19</v>
      </c>
      <c r="G41" s="4">
        <f t="shared" si="2"/>
        <v>2</v>
      </c>
      <c r="H41" s="4">
        <f t="shared" si="3"/>
        <v>2</v>
      </c>
      <c r="I41" s="17"/>
      <c r="J41" t="str">
        <f>IF(F41="No",COUNTIF($F$6:F41,"No"),"")</f>
        <v/>
      </c>
    </row>
    <row r="42" spans="1:10" ht="30" customHeight="1" x14ac:dyDescent="0.2">
      <c r="A42" s="4">
        <v>37</v>
      </c>
      <c r="B42" s="4" t="s">
        <v>149</v>
      </c>
      <c r="C42" s="15" t="s">
        <v>55</v>
      </c>
      <c r="D42" s="16" t="s">
        <v>62</v>
      </c>
      <c r="E42" s="5" t="s">
        <v>154</v>
      </c>
      <c r="F42" s="4" t="s">
        <v>19</v>
      </c>
      <c r="G42" s="4">
        <f t="shared" si="2"/>
        <v>2</v>
      </c>
      <c r="H42" s="4">
        <f t="shared" si="3"/>
        <v>2</v>
      </c>
      <c r="I42" s="17"/>
      <c r="J42" t="str">
        <f>IF(F42="No",COUNTIF($F$6:F42,"No"),"")</f>
        <v/>
      </c>
    </row>
    <row r="43" spans="1:10" ht="30" customHeight="1" x14ac:dyDescent="0.2">
      <c r="A43" s="4">
        <v>38</v>
      </c>
      <c r="B43" s="4" t="s">
        <v>155</v>
      </c>
      <c r="C43" s="15" t="s">
        <v>55</v>
      </c>
      <c r="D43" s="16" t="s">
        <v>62</v>
      </c>
      <c r="E43" s="5" t="s">
        <v>156</v>
      </c>
      <c r="F43" s="4" t="s">
        <v>25</v>
      </c>
      <c r="G43" s="4">
        <f t="shared" si="2"/>
        <v>0</v>
      </c>
      <c r="H43" s="4">
        <f t="shared" si="3"/>
        <v>2</v>
      </c>
      <c r="I43" s="17"/>
      <c r="J43">
        <f>IF(F43="No",COUNTIF($F$6:F43,"No"),"")</f>
        <v>6</v>
      </c>
    </row>
    <row r="44" spans="1:10" ht="30" customHeight="1" x14ac:dyDescent="0.2">
      <c r="A44" s="4">
        <v>39</v>
      </c>
      <c r="B44" s="4" t="s">
        <v>155</v>
      </c>
      <c r="C44" s="15" t="s">
        <v>55</v>
      </c>
      <c r="D44" s="16" t="s">
        <v>62</v>
      </c>
      <c r="E44" s="5" t="s">
        <v>157</v>
      </c>
      <c r="F44" s="4" t="s">
        <v>22</v>
      </c>
      <c r="G44" s="4">
        <f t="shared" si="2"/>
        <v>1</v>
      </c>
      <c r="H44" s="4">
        <f t="shared" si="3"/>
        <v>2</v>
      </c>
      <c r="I44" s="17"/>
      <c r="J44" t="str">
        <f>IF(F44="No",COUNTIF($F$6:F44,"No"),"")</f>
        <v/>
      </c>
    </row>
    <row r="45" spans="1:10" ht="30" customHeight="1" x14ac:dyDescent="0.2">
      <c r="A45" s="4">
        <v>40</v>
      </c>
      <c r="B45" s="4" t="s">
        <v>158</v>
      </c>
      <c r="C45" s="15" t="s">
        <v>55</v>
      </c>
      <c r="D45" s="16" t="s">
        <v>62</v>
      </c>
      <c r="E45" s="5" t="s">
        <v>159</v>
      </c>
      <c r="F45" s="4" t="s">
        <v>22</v>
      </c>
      <c r="G45" s="4">
        <f t="shared" si="2"/>
        <v>1</v>
      </c>
      <c r="H45" s="4">
        <f t="shared" si="3"/>
        <v>2</v>
      </c>
      <c r="I45" s="17"/>
      <c r="J45" t="str">
        <f>IF(F45="No",COUNTIF($F$6:F45,"No"),"")</f>
        <v/>
      </c>
    </row>
    <row r="46" spans="1:10" ht="30" customHeight="1" x14ac:dyDescent="0.2">
      <c r="A46" s="4">
        <v>41</v>
      </c>
      <c r="B46" s="4" t="s">
        <v>158</v>
      </c>
      <c r="C46" s="15" t="s">
        <v>55</v>
      </c>
      <c r="D46" s="16" t="s">
        <v>62</v>
      </c>
      <c r="E46" s="5" t="s">
        <v>160</v>
      </c>
      <c r="F46" s="4" t="s">
        <v>22</v>
      </c>
      <c r="G46" s="4">
        <f t="shared" si="2"/>
        <v>1</v>
      </c>
      <c r="H46" s="4">
        <f t="shared" si="3"/>
        <v>2</v>
      </c>
      <c r="I46" s="17"/>
      <c r="J46" t="str">
        <f>IF(F46="No",COUNTIF($F$6:F46,"No"),"")</f>
        <v/>
      </c>
    </row>
    <row r="47" spans="1:10" ht="30" customHeight="1" x14ac:dyDescent="0.2">
      <c r="A47" s="4">
        <v>42</v>
      </c>
      <c r="B47" s="4" t="s">
        <v>158</v>
      </c>
      <c r="C47" s="15" t="s">
        <v>55</v>
      </c>
      <c r="D47" s="16" t="s">
        <v>62</v>
      </c>
      <c r="E47" s="5" t="s">
        <v>161</v>
      </c>
      <c r="F47" s="4" t="s">
        <v>25</v>
      </c>
      <c r="G47" s="4">
        <f t="shared" si="2"/>
        <v>0</v>
      </c>
      <c r="H47" s="4">
        <f t="shared" si="3"/>
        <v>2</v>
      </c>
      <c r="I47" s="17"/>
      <c r="J47">
        <f>IF(F47="No",COUNTIF($F$6:F47,"No"),"")</f>
        <v>7</v>
      </c>
    </row>
    <row r="48" spans="1:10" ht="30" customHeight="1" x14ac:dyDescent="0.2">
      <c r="A48" s="4">
        <v>43</v>
      </c>
      <c r="B48" s="4" t="s">
        <v>158</v>
      </c>
      <c r="C48" s="15" t="s">
        <v>55</v>
      </c>
      <c r="D48" s="16" t="s">
        <v>62</v>
      </c>
      <c r="E48" s="5" t="s">
        <v>162</v>
      </c>
      <c r="F48" s="4" t="s">
        <v>22</v>
      </c>
      <c r="G48" s="4">
        <f t="shared" si="2"/>
        <v>1</v>
      </c>
      <c r="H48" s="4">
        <f t="shared" si="3"/>
        <v>2</v>
      </c>
      <c r="I48" s="17"/>
      <c r="J48" t="str">
        <f>IF(F48="No",COUNTIF($F$6:F48,"No"),"")</f>
        <v/>
      </c>
    </row>
    <row r="49" spans="1:10" ht="30" customHeight="1" x14ac:dyDescent="0.2">
      <c r="A49" s="4">
        <v>44</v>
      </c>
      <c r="B49" s="4" t="s">
        <v>158</v>
      </c>
      <c r="C49" s="15" t="s">
        <v>55</v>
      </c>
      <c r="D49" s="16" t="s">
        <v>62</v>
      </c>
      <c r="E49" s="5" t="s">
        <v>163</v>
      </c>
      <c r="F49" s="4" t="s">
        <v>22</v>
      </c>
      <c r="G49" s="4">
        <f t="shared" si="2"/>
        <v>1</v>
      </c>
      <c r="H49" s="4">
        <f t="shared" si="3"/>
        <v>2</v>
      </c>
      <c r="I49" s="17"/>
      <c r="J49" t="str">
        <f>IF(F49="No",COUNTIF($F$6:F49,"No"),"")</f>
        <v/>
      </c>
    </row>
    <row r="50" spans="1:10" ht="30" customHeight="1" x14ac:dyDescent="0.2">
      <c r="A50" s="4">
        <v>45</v>
      </c>
      <c r="B50" s="4" t="s">
        <v>158</v>
      </c>
      <c r="C50" s="15" t="s">
        <v>55</v>
      </c>
      <c r="D50" s="16" t="s">
        <v>62</v>
      </c>
      <c r="E50" s="5" t="s">
        <v>164</v>
      </c>
      <c r="F50" s="4" t="s">
        <v>19</v>
      </c>
      <c r="G50" s="4">
        <f t="shared" si="2"/>
        <v>2</v>
      </c>
      <c r="H50" s="4">
        <f t="shared" si="3"/>
        <v>2</v>
      </c>
      <c r="I50" s="17"/>
      <c r="J50" t="str">
        <f>IF(F50="No",COUNTIF($F$6:F50,"No"),"")</f>
        <v/>
      </c>
    </row>
    <row r="51" spans="1:10" ht="30" customHeight="1" x14ac:dyDescent="0.2">
      <c r="A51" s="4">
        <v>46</v>
      </c>
      <c r="B51" s="4" t="s">
        <v>158</v>
      </c>
      <c r="C51" s="15" t="s">
        <v>55</v>
      </c>
      <c r="D51" s="16" t="s">
        <v>62</v>
      </c>
      <c r="E51" s="5" t="s">
        <v>165</v>
      </c>
      <c r="F51" s="4" t="s">
        <v>19</v>
      </c>
      <c r="G51" s="4">
        <f t="shared" si="2"/>
        <v>2</v>
      </c>
      <c r="H51" s="4">
        <f t="shared" si="3"/>
        <v>2</v>
      </c>
      <c r="I51" s="17"/>
      <c r="J51" t="str">
        <f>IF(F51="No",COUNTIF($F$6:F51,"No"),"")</f>
        <v/>
      </c>
    </row>
    <row r="52" spans="1:10" ht="30" customHeight="1" x14ac:dyDescent="0.2">
      <c r="A52" s="4">
        <v>47</v>
      </c>
      <c r="B52" s="4" t="s">
        <v>158</v>
      </c>
      <c r="C52" s="15" t="s">
        <v>55</v>
      </c>
      <c r="D52" s="16" t="s">
        <v>62</v>
      </c>
      <c r="E52" s="5" t="s">
        <v>166</v>
      </c>
      <c r="F52" s="4" t="s">
        <v>22</v>
      </c>
      <c r="G52" s="4">
        <f t="shared" si="2"/>
        <v>1</v>
      </c>
      <c r="H52" s="4">
        <f t="shared" si="3"/>
        <v>2</v>
      </c>
      <c r="I52" s="17"/>
      <c r="J52" t="str">
        <f>IF(F52="No",COUNTIF($F$6:F52,"No"),"")</f>
        <v/>
      </c>
    </row>
    <row r="53" spans="1:10" ht="30" customHeight="1" x14ac:dyDescent="0.2">
      <c r="A53" s="4">
        <v>48</v>
      </c>
      <c r="B53" s="4" t="s">
        <v>158</v>
      </c>
      <c r="C53" s="15" t="s">
        <v>55</v>
      </c>
      <c r="D53" s="16" t="s">
        <v>62</v>
      </c>
      <c r="E53" s="5" t="s">
        <v>167</v>
      </c>
      <c r="F53" s="4" t="s">
        <v>25</v>
      </c>
      <c r="G53" s="4">
        <f t="shared" si="2"/>
        <v>0</v>
      </c>
      <c r="H53" s="4">
        <f t="shared" si="3"/>
        <v>2</v>
      </c>
      <c r="I53" s="17"/>
      <c r="J53">
        <f>IF(F53="No",COUNTIF($F$6:F53,"No"),"")</f>
        <v>8</v>
      </c>
    </row>
    <row r="54" spans="1:10" ht="30" customHeight="1" x14ac:dyDescent="0.2">
      <c r="A54" s="4">
        <v>49</v>
      </c>
      <c r="B54" s="4" t="s">
        <v>158</v>
      </c>
      <c r="C54" s="15" t="s">
        <v>55</v>
      </c>
      <c r="D54" s="16" t="s">
        <v>62</v>
      </c>
      <c r="E54" s="5" t="s">
        <v>168</v>
      </c>
      <c r="F54" s="4" t="s">
        <v>22</v>
      </c>
      <c r="G54" s="4">
        <f t="shared" si="2"/>
        <v>1</v>
      </c>
      <c r="H54" s="4">
        <f t="shared" si="3"/>
        <v>2</v>
      </c>
      <c r="I54" s="17"/>
      <c r="J54" t="str">
        <f>IF(F54="No",COUNTIF($F$6:F54,"No"),"")</f>
        <v/>
      </c>
    </row>
    <row r="55" spans="1:10" ht="30" customHeight="1" x14ac:dyDescent="0.2">
      <c r="A55" s="4">
        <v>50</v>
      </c>
      <c r="B55" s="4" t="s">
        <v>169</v>
      </c>
      <c r="C55" s="15" t="s">
        <v>55</v>
      </c>
      <c r="D55" s="16" t="s">
        <v>62</v>
      </c>
      <c r="E55" s="5" t="s">
        <v>170</v>
      </c>
      <c r="F55" s="4" t="s">
        <v>19</v>
      </c>
      <c r="G55" s="4">
        <f t="shared" si="2"/>
        <v>2</v>
      </c>
      <c r="H55" s="4">
        <f t="shared" si="3"/>
        <v>2</v>
      </c>
      <c r="I55" s="17"/>
      <c r="J55" t="str">
        <f>IF(F55="No",COUNTIF($F$6:F55,"No"),"")</f>
        <v/>
      </c>
    </row>
    <row r="56" spans="1:10" ht="30" customHeight="1" x14ac:dyDescent="0.2">
      <c r="A56" s="4">
        <v>51</v>
      </c>
      <c r="B56" s="4" t="s">
        <v>169</v>
      </c>
      <c r="C56" s="15" t="s">
        <v>55</v>
      </c>
      <c r="D56" s="16" t="s">
        <v>62</v>
      </c>
      <c r="E56" s="5" t="s">
        <v>171</v>
      </c>
      <c r="F56" s="4" t="s">
        <v>19</v>
      </c>
      <c r="G56" s="4">
        <f t="shared" si="2"/>
        <v>2</v>
      </c>
      <c r="H56" s="4">
        <f t="shared" si="3"/>
        <v>2</v>
      </c>
      <c r="I56" s="17"/>
      <c r="J56" t="str">
        <f>IF(F56="No",COUNTIF($F$6:F56,"No"),"")</f>
        <v/>
      </c>
    </row>
    <row r="57" spans="1:10" ht="30" customHeight="1" x14ac:dyDescent="0.2">
      <c r="A57" s="4">
        <v>52</v>
      </c>
      <c r="B57" s="4" t="s">
        <v>169</v>
      </c>
      <c r="C57" s="15" t="s">
        <v>55</v>
      </c>
      <c r="D57" s="16" t="s">
        <v>62</v>
      </c>
      <c r="E57" s="5" t="s">
        <v>172</v>
      </c>
      <c r="F57" s="4" t="s">
        <v>19</v>
      </c>
      <c r="G57" s="4">
        <f t="shared" si="2"/>
        <v>2</v>
      </c>
      <c r="H57" s="4">
        <f t="shared" si="3"/>
        <v>2</v>
      </c>
      <c r="I57" s="17"/>
      <c r="J57" t="str">
        <f>IF(F57="No",COUNTIF($F$6:F57,"No"),"")</f>
        <v/>
      </c>
    </row>
    <row r="58" spans="1:10" ht="30" customHeight="1" x14ac:dyDescent="0.2">
      <c r="A58" s="4">
        <v>53</v>
      </c>
      <c r="B58" s="4" t="s">
        <v>169</v>
      </c>
      <c r="C58" s="15" t="s">
        <v>55</v>
      </c>
      <c r="D58" s="16" t="s">
        <v>62</v>
      </c>
      <c r="E58" s="5" t="s">
        <v>173</v>
      </c>
      <c r="F58" s="4" t="s">
        <v>25</v>
      </c>
      <c r="G58" s="4">
        <f t="shared" si="2"/>
        <v>0</v>
      </c>
      <c r="H58" s="4">
        <f t="shared" si="3"/>
        <v>2</v>
      </c>
      <c r="I58" s="17"/>
      <c r="J58">
        <f>IF(F58="No",COUNTIF($F$6:F58,"No"),"")</f>
        <v>9</v>
      </c>
    </row>
    <row r="59" spans="1:10" ht="30" customHeight="1" x14ac:dyDescent="0.2">
      <c r="A59" s="4">
        <v>54</v>
      </c>
      <c r="B59" s="4" t="s">
        <v>169</v>
      </c>
      <c r="C59" s="15" t="s">
        <v>55</v>
      </c>
      <c r="D59" s="16" t="s">
        <v>62</v>
      </c>
      <c r="E59" s="5" t="s">
        <v>174</v>
      </c>
      <c r="F59" s="4" t="s">
        <v>19</v>
      </c>
      <c r="G59" s="4">
        <f t="shared" si="2"/>
        <v>2</v>
      </c>
      <c r="H59" s="4">
        <f t="shared" si="3"/>
        <v>2</v>
      </c>
      <c r="I59" s="17"/>
      <c r="J59" t="str">
        <f>IF(F59="No",COUNTIF($F$6:F59,"No"),"")</f>
        <v/>
      </c>
    </row>
    <row r="60" spans="1:10" ht="30" customHeight="1" x14ac:dyDescent="0.2">
      <c r="A60" s="4">
        <v>55</v>
      </c>
      <c r="B60" s="4" t="s">
        <v>169</v>
      </c>
      <c r="C60" s="15" t="s">
        <v>55</v>
      </c>
      <c r="D60" s="16" t="s">
        <v>62</v>
      </c>
      <c r="E60" s="5" t="s">
        <v>175</v>
      </c>
      <c r="F60" s="4" t="s">
        <v>25</v>
      </c>
      <c r="G60" s="4">
        <f t="shared" si="2"/>
        <v>0</v>
      </c>
      <c r="H60" s="4">
        <f t="shared" si="3"/>
        <v>2</v>
      </c>
      <c r="I60" s="17"/>
      <c r="J60">
        <f>IF(F60="No",COUNTIF($F$6:F60,"No"),"")</f>
        <v>10</v>
      </c>
    </row>
    <row r="61" spans="1:10" ht="30" customHeight="1" x14ac:dyDescent="0.2">
      <c r="A61" s="4">
        <v>56</v>
      </c>
      <c r="B61" s="4" t="s">
        <v>169</v>
      </c>
      <c r="C61" s="15" t="s">
        <v>55</v>
      </c>
      <c r="D61" s="16" t="s">
        <v>62</v>
      </c>
      <c r="E61" s="5" t="s">
        <v>176</v>
      </c>
      <c r="F61" s="4" t="s">
        <v>19</v>
      </c>
      <c r="G61" s="4">
        <f t="shared" si="2"/>
        <v>2</v>
      </c>
      <c r="H61" s="4">
        <f t="shared" si="3"/>
        <v>2</v>
      </c>
      <c r="I61" s="17"/>
      <c r="J61" t="str">
        <f>IF(F61="No",COUNTIF($F$6:F61,"No"),"")</f>
        <v/>
      </c>
    </row>
    <row r="62" spans="1:10" ht="30" customHeight="1" x14ac:dyDescent="0.2">
      <c r="A62" s="4">
        <v>57</v>
      </c>
      <c r="B62" s="4" t="s">
        <v>169</v>
      </c>
      <c r="C62" s="15" t="s">
        <v>55</v>
      </c>
      <c r="D62" s="16" t="s">
        <v>62</v>
      </c>
      <c r="E62" s="5" t="s">
        <v>177</v>
      </c>
      <c r="F62" s="4" t="s">
        <v>25</v>
      </c>
      <c r="G62" s="4">
        <f t="shared" si="2"/>
        <v>0</v>
      </c>
      <c r="H62" s="4">
        <f t="shared" si="3"/>
        <v>2</v>
      </c>
      <c r="I62" s="17"/>
      <c r="J62">
        <f>IF(F62="No",COUNTIF($F$6:F62,"No"),"")</f>
        <v>11</v>
      </c>
    </row>
    <row r="63" spans="1:10" ht="30" customHeight="1" x14ac:dyDescent="0.2">
      <c r="A63" s="4">
        <v>58</v>
      </c>
      <c r="B63" s="4" t="s">
        <v>169</v>
      </c>
      <c r="C63" s="15" t="s">
        <v>55</v>
      </c>
      <c r="D63" s="16" t="s">
        <v>62</v>
      </c>
      <c r="E63" s="5" t="s">
        <v>178</v>
      </c>
      <c r="F63" s="4" t="s">
        <v>25</v>
      </c>
      <c r="G63" s="4">
        <f t="shared" si="2"/>
        <v>0</v>
      </c>
      <c r="H63" s="4">
        <f t="shared" si="3"/>
        <v>2</v>
      </c>
      <c r="I63" s="17"/>
      <c r="J63">
        <f>IF(F63="No",COUNTIF($F$6:F63,"No"),"")</f>
        <v>12</v>
      </c>
    </row>
    <row r="64" spans="1:10" ht="30" customHeight="1" x14ac:dyDescent="0.2">
      <c r="A64" s="4">
        <v>59</v>
      </c>
      <c r="B64" s="4" t="s">
        <v>169</v>
      </c>
      <c r="C64" s="15" t="s">
        <v>55</v>
      </c>
      <c r="D64" s="16" t="s">
        <v>62</v>
      </c>
      <c r="E64" s="5" t="s">
        <v>179</v>
      </c>
      <c r="F64" s="4" t="s">
        <v>25</v>
      </c>
      <c r="G64" s="4">
        <f t="shared" si="2"/>
        <v>0</v>
      </c>
      <c r="H64" s="4">
        <f t="shared" si="3"/>
        <v>2</v>
      </c>
      <c r="I64" s="17"/>
      <c r="J64">
        <f>IF(F64="No",COUNTIF($F$6:F64,"No"),"")</f>
        <v>13</v>
      </c>
    </row>
    <row r="65" spans="1:10" ht="30" customHeight="1" x14ac:dyDescent="0.2">
      <c r="A65" s="4">
        <v>60</v>
      </c>
      <c r="B65" s="4" t="s">
        <v>169</v>
      </c>
      <c r="C65" s="15" t="s">
        <v>55</v>
      </c>
      <c r="D65" s="16" t="s">
        <v>62</v>
      </c>
      <c r="E65" s="5" t="s">
        <v>180</v>
      </c>
      <c r="F65" s="4" t="s">
        <v>19</v>
      </c>
      <c r="G65" s="4">
        <f t="shared" si="2"/>
        <v>2</v>
      </c>
      <c r="H65" s="4">
        <f t="shared" si="3"/>
        <v>2</v>
      </c>
      <c r="I65" s="17"/>
      <c r="J65" t="str">
        <f>IF(F65="No",COUNTIF($F$6:F65,"No"),"")</f>
        <v/>
      </c>
    </row>
    <row r="66" spans="1:10" ht="30" customHeight="1" x14ac:dyDescent="0.2">
      <c r="A66" s="4">
        <v>61</v>
      </c>
      <c r="B66" s="4" t="s">
        <v>169</v>
      </c>
      <c r="C66" s="15" t="s">
        <v>55</v>
      </c>
      <c r="D66" s="16" t="s">
        <v>62</v>
      </c>
      <c r="E66" s="5" t="s">
        <v>181</v>
      </c>
      <c r="F66" s="4" t="s">
        <v>22</v>
      </c>
      <c r="G66" s="4">
        <f t="shared" si="2"/>
        <v>1</v>
      </c>
      <c r="H66" s="4">
        <f t="shared" si="3"/>
        <v>2</v>
      </c>
      <c r="I66" s="17"/>
      <c r="J66" t="str">
        <f>IF(F66="No",COUNTIF($F$6:F66,"No"),"")</f>
        <v/>
      </c>
    </row>
    <row r="67" spans="1:10" ht="30" customHeight="1" x14ac:dyDescent="0.2">
      <c r="A67" s="4">
        <v>62</v>
      </c>
      <c r="B67" s="4" t="s">
        <v>169</v>
      </c>
      <c r="C67" s="15" t="s">
        <v>55</v>
      </c>
      <c r="D67" s="19" t="s">
        <v>56</v>
      </c>
      <c r="E67" s="5" t="s">
        <v>182</v>
      </c>
      <c r="F67" s="4" t="s">
        <v>19</v>
      </c>
      <c r="G67" s="4">
        <f t="shared" si="2"/>
        <v>2</v>
      </c>
      <c r="H67" s="4">
        <f t="shared" si="3"/>
        <v>2</v>
      </c>
      <c r="I67" s="17"/>
      <c r="J67" t="str">
        <f>IF(F67="No",COUNTIF($F$6:F67,"No"),"")</f>
        <v/>
      </c>
    </row>
    <row r="68" spans="1:10" ht="30" customHeight="1" x14ac:dyDescent="0.2">
      <c r="A68" s="4">
        <v>63</v>
      </c>
      <c r="B68" s="4" t="s">
        <v>169</v>
      </c>
      <c r="C68" s="15" t="s">
        <v>55</v>
      </c>
      <c r="D68" s="16" t="s">
        <v>62</v>
      </c>
      <c r="E68" s="5" t="s">
        <v>183</v>
      </c>
      <c r="F68" s="4" t="s">
        <v>25</v>
      </c>
      <c r="G68" s="4">
        <f t="shared" si="2"/>
        <v>0</v>
      </c>
      <c r="H68" s="4">
        <f t="shared" si="3"/>
        <v>2</v>
      </c>
      <c r="I68" s="17"/>
      <c r="J68">
        <f>IF(F68="No",COUNTIF($F$6:F68,"No"),"")</f>
        <v>14</v>
      </c>
    </row>
    <row r="69" spans="1:10" ht="30" customHeight="1" x14ac:dyDescent="0.2">
      <c r="A69" s="4">
        <v>64</v>
      </c>
      <c r="B69" s="4" t="s">
        <v>169</v>
      </c>
      <c r="C69" s="15" t="s">
        <v>55</v>
      </c>
      <c r="D69" s="16" t="s">
        <v>62</v>
      </c>
      <c r="E69" s="5" t="s">
        <v>184</v>
      </c>
      <c r="F69" s="4" t="s">
        <v>19</v>
      </c>
      <c r="G69" s="4">
        <f t="shared" si="2"/>
        <v>2</v>
      </c>
      <c r="H69" s="4">
        <f t="shared" si="3"/>
        <v>2</v>
      </c>
      <c r="I69" s="17"/>
      <c r="J69" t="str">
        <f>IF(F69="No",COUNTIF($F$6:F69,"No"),"")</f>
        <v/>
      </c>
    </row>
    <row r="70" spans="1:10" ht="30" customHeight="1" x14ac:dyDescent="0.2">
      <c r="A70" s="4">
        <v>65</v>
      </c>
      <c r="B70" s="4" t="s">
        <v>185</v>
      </c>
      <c r="C70" s="15" t="s">
        <v>55</v>
      </c>
      <c r="D70" s="20" t="s">
        <v>57</v>
      </c>
      <c r="E70" s="5" t="s">
        <v>186</v>
      </c>
      <c r="F70" s="4" t="s">
        <v>19</v>
      </c>
      <c r="G70" s="4">
        <f t="shared" ref="G70:G101" si="4">IF(F70="Yes",2,IF(F70="Partial",1,IF(F70="No",0,"")))</f>
        <v>2</v>
      </c>
      <c r="H70" s="4">
        <f t="shared" ref="H70:H101" si="5">IF(F70="N/A","",IF(F70="","",2))</f>
        <v>2</v>
      </c>
      <c r="I70" s="17"/>
      <c r="J70" t="str">
        <f>IF(F70="No",COUNTIF($F$6:F70,"No"),"")</f>
        <v/>
      </c>
    </row>
    <row r="71" spans="1:10" ht="30" customHeight="1" x14ac:dyDescent="0.2">
      <c r="A71" s="4">
        <v>66</v>
      </c>
      <c r="B71" s="4" t="s">
        <v>185</v>
      </c>
      <c r="C71" s="15" t="s">
        <v>55</v>
      </c>
      <c r="D71" s="18" t="s">
        <v>60</v>
      </c>
      <c r="E71" s="5" t="s">
        <v>187</v>
      </c>
      <c r="F71" s="4" t="s">
        <v>19</v>
      </c>
      <c r="G71" s="4">
        <f t="shared" si="4"/>
        <v>2</v>
      </c>
      <c r="H71" s="4">
        <f t="shared" si="5"/>
        <v>2</v>
      </c>
      <c r="I71" s="17"/>
      <c r="J71" t="str">
        <f>IF(F71="No",COUNTIF($F$6:F71,"No"),"")</f>
        <v/>
      </c>
    </row>
    <row r="72" spans="1:10" ht="30" customHeight="1" x14ac:dyDescent="0.2">
      <c r="A72" s="4">
        <v>67</v>
      </c>
      <c r="B72" s="4" t="s">
        <v>185</v>
      </c>
      <c r="C72" s="15" t="s">
        <v>55</v>
      </c>
      <c r="D72" s="18" t="s">
        <v>60</v>
      </c>
      <c r="E72" s="5" t="s">
        <v>188</v>
      </c>
      <c r="F72" s="4" t="s">
        <v>19</v>
      </c>
      <c r="G72" s="4">
        <f t="shared" si="4"/>
        <v>2</v>
      </c>
      <c r="H72" s="4">
        <f t="shared" si="5"/>
        <v>2</v>
      </c>
      <c r="I72" s="17"/>
      <c r="J72" t="str">
        <f>IF(F72="No",COUNTIF($F$6:F72,"No"),"")</f>
        <v/>
      </c>
    </row>
    <row r="73" spans="1:10" ht="30" customHeight="1" x14ac:dyDescent="0.2">
      <c r="A73" s="4">
        <v>68</v>
      </c>
      <c r="B73" s="4" t="s">
        <v>189</v>
      </c>
      <c r="C73" s="19" t="s">
        <v>56</v>
      </c>
      <c r="D73" s="19" t="s">
        <v>56</v>
      </c>
      <c r="E73" s="5" t="s">
        <v>190</v>
      </c>
      <c r="F73" s="4" t="s">
        <v>19</v>
      </c>
      <c r="G73" s="4">
        <f t="shared" si="4"/>
        <v>2</v>
      </c>
      <c r="H73" s="4">
        <f t="shared" si="5"/>
        <v>2</v>
      </c>
      <c r="I73" s="17"/>
      <c r="J73" t="str">
        <f>IF(F73="No",COUNTIF($F$6:F73,"No"),"")</f>
        <v/>
      </c>
    </row>
    <row r="74" spans="1:10" ht="30" customHeight="1" x14ac:dyDescent="0.2">
      <c r="A74" s="4">
        <v>69</v>
      </c>
      <c r="B74" s="4" t="s">
        <v>189</v>
      </c>
      <c r="C74" s="19" t="s">
        <v>56</v>
      </c>
      <c r="D74" s="19" t="s">
        <v>56</v>
      </c>
      <c r="E74" s="5" t="s">
        <v>191</v>
      </c>
      <c r="F74" s="4" t="s">
        <v>19</v>
      </c>
      <c r="G74" s="4">
        <f t="shared" si="4"/>
        <v>2</v>
      </c>
      <c r="H74" s="4">
        <f t="shared" si="5"/>
        <v>2</v>
      </c>
      <c r="I74" s="17"/>
      <c r="J74" t="str">
        <f>IF(F74="No",COUNTIF($F$6:F74,"No"),"")</f>
        <v/>
      </c>
    </row>
    <row r="75" spans="1:10" ht="30" customHeight="1" x14ac:dyDescent="0.2">
      <c r="A75" s="4">
        <v>70</v>
      </c>
      <c r="B75" s="4" t="s">
        <v>189</v>
      </c>
      <c r="C75" s="19" t="s">
        <v>56</v>
      </c>
      <c r="D75" s="19" t="s">
        <v>56</v>
      </c>
      <c r="E75" s="5" t="s">
        <v>192</v>
      </c>
      <c r="F75" s="4" t="s">
        <v>22</v>
      </c>
      <c r="G75" s="4">
        <f t="shared" si="4"/>
        <v>1</v>
      </c>
      <c r="H75" s="4">
        <f t="shared" si="5"/>
        <v>2</v>
      </c>
      <c r="I75" s="17"/>
      <c r="J75" t="str">
        <f>IF(F75="No",COUNTIF($F$6:F75,"No"),"")</f>
        <v/>
      </c>
    </row>
    <row r="76" spans="1:10" ht="30" customHeight="1" x14ac:dyDescent="0.2">
      <c r="A76" s="4">
        <v>71</v>
      </c>
      <c r="B76" s="4" t="s">
        <v>189</v>
      </c>
      <c r="C76" s="19" t="s">
        <v>56</v>
      </c>
      <c r="D76" s="19" t="s">
        <v>56</v>
      </c>
      <c r="E76" s="5" t="s">
        <v>193</v>
      </c>
      <c r="F76" s="4" t="s">
        <v>22</v>
      </c>
      <c r="G76" s="4">
        <f t="shared" si="4"/>
        <v>1</v>
      </c>
      <c r="H76" s="4">
        <f t="shared" si="5"/>
        <v>2</v>
      </c>
      <c r="I76" s="17"/>
      <c r="J76" t="str">
        <f>IF(F76="No",COUNTIF($F$6:F76,"No"),"")</f>
        <v/>
      </c>
    </row>
    <row r="77" spans="1:10" ht="30" customHeight="1" x14ac:dyDescent="0.2">
      <c r="A77" s="4">
        <v>72</v>
      </c>
      <c r="B77" s="4" t="s">
        <v>189</v>
      </c>
      <c r="C77" s="19" t="s">
        <v>56</v>
      </c>
      <c r="D77" s="19" t="s">
        <v>56</v>
      </c>
      <c r="E77" s="5" t="s">
        <v>194</v>
      </c>
      <c r="F77" s="4" t="s">
        <v>25</v>
      </c>
      <c r="G77" s="4">
        <f t="shared" si="4"/>
        <v>0</v>
      </c>
      <c r="H77" s="4">
        <f t="shared" si="5"/>
        <v>2</v>
      </c>
      <c r="I77" s="17"/>
      <c r="J77">
        <f>IF(F77="No",COUNTIF($F$6:F77,"No"),"")</f>
        <v>15</v>
      </c>
    </row>
    <row r="78" spans="1:10" ht="30" customHeight="1" x14ac:dyDescent="0.2">
      <c r="A78" s="4">
        <v>73</v>
      </c>
      <c r="B78" s="4" t="s">
        <v>189</v>
      </c>
      <c r="C78" s="19" t="s">
        <v>56</v>
      </c>
      <c r="D78" s="19" t="s">
        <v>56</v>
      </c>
      <c r="E78" s="5" t="s">
        <v>195</v>
      </c>
      <c r="F78" s="4" t="s">
        <v>25</v>
      </c>
      <c r="G78" s="4">
        <f t="shared" si="4"/>
        <v>0</v>
      </c>
      <c r="H78" s="4">
        <f t="shared" si="5"/>
        <v>2</v>
      </c>
      <c r="I78" s="17"/>
      <c r="J78">
        <f>IF(F78="No",COUNTIF($F$6:F78,"No"),"")</f>
        <v>16</v>
      </c>
    </row>
    <row r="79" spans="1:10" ht="30" customHeight="1" x14ac:dyDescent="0.2">
      <c r="A79" s="4">
        <v>74</v>
      </c>
      <c r="B79" s="4" t="s">
        <v>196</v>
      </c>
      <c r="C79" s="20" t="s">
        <v>57</v>
      </c>
      <c r="D79" s="20" t="s">
        <v>57</v>
      </c>
      <c r="E79" s="5" t="s">
        <v>197</v>
      </c>
      <c r="F79" s="4" t="s">
        <v>19</v>
      </c>
      <c r="G79" s="4">
        <f t="shared" si="4"/>
        <v>2</v>
      </c>
      <c r="H79" s="4">
        <f t="shared" si="5"/>
        <v>2</v>
      </c>
      <c r="I79" s="17"/>
      <c r="J79" t="str">
        <f>IF(F79="No",COUNTIF($F$6:F79,"No"),"")</f>
        <v/>
      </c>
    </row>
    <row r="80" spans="1:10" ht="30" customHeight="1" x14ac:dyDescent="0.2">
      <c r="A80" s="4">
        <v>75</v>
      </c>
      <c r="B80" s="4" t="s">
        <v>198</v>
      </c>
      <c r="C80" s="20" t="s">
        <v>57</v>
      </c>
      <c r="D80" s="20" t="s">
        <v>57</v>
      </c>
      <c r="E80" s="5" t="s">
        <v>199</v>
      </c>
      <c r="F80" s="4" t="s">
        <v>25</v>
      </c>
      <c r="G80" s="4">
        <f t="shared" si="4"/>
        <v>0</v>
      </c>
      <c r="H80" s="4">
        <f t="shared" si="5"/>
        <v>2</v>
      </c>
      <c r="I80" s="17"/>
      <c r="J80">
        <f>IF(F80="No",COUNTIF($F$6:F80,"No"),"")</f>
        <v>17</v>
      </c>
    </row>
    <row r="81" spans="1:10" ht="30" customHeight="1" x14ac:dyDescent="0.2">
      <c r="A81" s="4">
        <v>76</v>
      </c>
      <c r="B81" s="4" t="s">
        <v>198</v>
      </c>
      <c r="C81" s="20" t="s">
        <v>57</v>
      </c>
      <c r="D81" s="20" t="s">
        <v>57</v>
      </c>
      <c r="E81" s="5" t="s">
        <v>200</v>
      </c>
      <c r="F81" s="4" t="s">
        <v>19</v>
      </c>
      <c r="G81" s="4">
        <f t="shared" si="4"/>
        <v>2</v>
      </c>
      <c r="H81" s="4">
        <f t="shared" si="5"/>
        <v>2</v>
      </c>
      <c r="I81" s="17"/>
      <c r="J81" t="str">
        <f>IF(F81="No",COUNTIF($F$6:F81,"No"),"")</f>
        <v/>
      </c>
    </row>
    <row r="82" spans="1:10" ht="30" customHeight="1" x14ac:dyDescent="0.2">
      <c r="A82" s="4">
        <v>77</v>
      </c>
      <c r="B82" s="4" t="s">
        <v>198</v>
      </c>
      <c r="C82" s="20" t="s">
        <v>57</v>
      </c>
      <c r="D82" s="20" t="s">
        <v>57</v>
      </c>
      <c r="E82" s="5" t="s">
        <v>201</v>
      </c>
      <c r="F82" s="4" t="s">
        <v>25</v>
      </c>
      <c r="G82" s="4">
        <f t="shared" si="4"/>
        <v>0</v>
      </c>
      <c r="H82" s="4">
        <f t="shared" si="5"/>
        <v>2</v>
      </c>
      <c r="I82" s="17"/>
      <c r="J82">
        <f>IF(F82="No",COUNTIF($F$6:F82,"No"),"")</f>
        <v>18</v>
      </c>
    </row>
    <row r="83" spans="1:10" ht="30" customHeight="1" x14ac:dyDescent="0.2">
      <c r="A83" s="4">
        <v>78</v>
      </c>
      <c r="B83" s="4" t="s">
        <v>198</v>
      </c>
      <c r="C83" s="20" t="s">
        <v>57</v>
      </c>
      <c r="D83" s="20" t="s">
        <v>57</v>
      </c>
      <c r="E83" s="5" t="s">
        <v>202</v>
      </c>
      <c r="F83" s="4" t="s">
        <v>19</v>
      </c>
      <c r="G83" s="4">
        <f t="shared" si="4"/>
        <v>2</v>
      </c>
      <c r="H83" s="4">
        <f t="shared" si="5"/>
        <v>2</v>
      </c>
      <c r="I83" s="17"/>
      <c r="J83" t="str">
        <f>IF(F83="No",COUNTIF($F$6:F83,"No"),"")</f>
        <v/>
      </c>
    </row>
    <row r="84" spans="1:10" ht="30" customHeight="1" x14ac:dyDescent="0.2">
      <c r="A84" s="4">
        <v>79</v>
      </c>
      <c r="B84" s="4" t="s">
        <v>198</v>
      </c>
      <c r="C84" s="20" t="s">
        <v>57</v>
      </c>
      <c r="D84" s="20" t="s">
        <v>57</v>
      </c>
      <c r="E84" s="5" t="s">
        <v>203</v>
      </c>
      <c r="F84" s="4" t="s">
        <v>19</v>
      </c>
      <c r="G84" s="4">
        <f t="shared" si="4"/>
        <v>2</v>
      </c>
      <c r="H84" s="4">
        <f t="shared" si="5"/>
        <v>2</v>
      </c>
      <c r="I84" s="17"/>
      <c r="J84" t="str">
        <f>IF(F84="No",COUNTIF($F$6:F84,"No"),"")</f>
        <v/>
      </c>
    </row>
    <row r="85" spans="1:10" ht="30" customHeight="1" x14ac:dyDescent="0.2">
      <c r="A85" s="4">
        <v>80</v>
      </c>
      <c r="B85" s="4" t="s">
        <v>198</v>
      </c>
      <c r="C85" s="20" t="s">
        <v>57</v>
      </c>
      <c r="D85" s="20" t="s">
        <v>57</v>
      </c>
      <c r="E85" s="5" t="s">
        <v>204</v>
      </c>
      <c r="F85" s="4" t="s">
        <v>25</v>
      </c>
      <c r="G85" s="4">
        <f t="shared" si="4"/>
        <v>0</v>
      </c>
      <c r="H85" s="4">
        <f t="shared" si="5"/>
        <v>2</v>
      </c>
      <c r="I85" s="17"/>
      <c r="J85">
        <f>IF(F85="No",COUNTIF($F$6:F85,"No"),"")</f>
        <v>19</v>
      </c>
    </row>
    <row r="86" spans="1:10" ht="30" customHeight="1" x14ac:dyDescent="0.2">
      <c r="A86" s="4">
        <v>81</v>
      </c>
      <c r="B86" s="4" t="s">
        <v>198</v>
      </c>
      <c r="C86" s="20" t="s">
        <v>57</v>
      </c>
      <c r="D86" s="20" t="s">
        <v>57</v>
      </c>
      <c r="E86" s="5" t="s">
        <v>205</v>
      </c>
      <c r="F86" s="4" t="s">
        <v>19</v>
      </c>
      <c r="G86" s="4">
        <f t="shared" si="4"/>
        <v>2</v>
      </c>
      <c r="H86" s="4">
        <f t="shared" si="5"/>
        <v>2</v>
      </c>
      <c r="I86" s="17"/>
      <c r="J86" t="str">
        <f>IF(F86="No",COUNTIF($F$6:F86,"No"),"")</f>
        <v/>
      </c>
    </row>
    <row r="87" spans="1:10" ht="30" customHeight="1" x14ac:dyDescent="0.2">
      <c r="A87" s="4">
        <v>82</v>
      </c>
      <c r="B87" s="4" t="s">
        <v>198</v>
      </c>
      <c r="C87" s="20" t="s">
        <v>57</v>
      </c>
      <c r="D87" s="20" t="s">
        <v>57</v>
      </c>
      <c r="E87" s="5" t="s">
        <v>206</v>
      </c>
      <c r="F87" s="4" t="s">
        <v>25</v>
      </c>
      <c r="G87" s="4">
        <f t="shared" si="4"/>
        <v>0</v>
      </c>
      <c r="H87" s="4">
        <f t="shared" si="5"/>
        <v>2</v>
      </c>
      <c r="I87" s="17"/>
      <c r="J87">
        <f>IF(F87="No",COUNTIF($F$6:F87,"No"),"")</f>
        <v>20</v>
      </c>
    </row>
    <row r="88" spans="1:10" ht="30" customHeight="1" x14ac:dyDescent="0.2">
      <c r="A88" s="4">
        <v>83</v>
      </c>
      <c r="B88" s="4" t="s">
        <v>198</v>
      </c>
      <c r="C88" s="20" t="s">
        <v>57</v>
      </c>
      <c r="D88" s="20" t="s">
        <v>57</v>
      </c>
      <c r="E88" s="5" t="s">
        <v>207</v>
      </c>
      <c r="F88" s="4" t="s">
        <v>19</v>
      </c>
      <c r="G88" s="4">
        <f t="shared" si="4"/>
        <v>2</v>
      </c>
      <c r="H88" s="4">
        <f t="shared" si="5"/>
        <v>2</v>
      </c>
      <c r="I88" s="17"/>
      <c r="J88" t="str">
        <f>IF(F88="No",COUNTIF($F$6:F88,"No"),"")</f>
        <v/>
      </c>
    </row>
    <row r="89" spans="1:10" ht="30" customHeight="1" x14ac:dyDescent="0.2">
      <c r="A89" s="4">
        <v>84</v>
      </c>
      <c r="B89" s="4" t="s">
        <v>198</v>
      </c>
      <c r="C89" s="20" t="s">
        <v>57</v>
      </c>
      <c r="D89" s="20" t="s">
        <v>57</v>
      </c>
      <c r="E89" s="5" t="s">
        <v>208</v>
      </c>
      <c r="F89" s="4" t="s">
        <v>19</v>
      </c>
      <c r="G89" s="4">
        <f t="shared" si="4"/>
        <v>2</v>
      </c>
      <c r="H89" s="4">
        <f t="shared" si="5"/>
        <v>2</v>
      </c>
      <c r="I89" s="17"/>
      <c r="J89" t="str">
        <f>IF(F89="No",COUNTIF($F$6:F89,"No"),"")</f>
        <v/>
      </c>
    </row>
    <row r="90" spans="1:10" ht="30" customHeight="1" x14ac:dyDescent="0.2">
      <c r="A90" s="4">
        <v>85</v>
      </c>
      <c r="B90" s="4" t="s">
        <v>198</v>
      </c>
      <c r="C90" s="20" t="s">
        <v>57</v>
      </c>
      <c r="D90" s="20" t="s">
        <v>57</v>
      </c>
      <c r="E90" s="5" t="s">
        <v>209</v>
      </c>
      <c r="F90" s="4" t="s">
        <v>19</v>
      </c>
      <c r="G90" s="4">
        <f t="shared" si="4"/>
        <v>2</v>
      </c>
      <c r="H90" s="4">
        <f t="shared" si="5"/>
        <v>2</v>
      </c>
      <c r="I90" s="17"/>
      <c r="J90" t="str">
        <f>IF(F90="No",COUNTIF($F$6:F90,"No"),"")</f>
        <v/>
      </c>
    </row>
    <row r="91" spans="1:10" ht="30" customHeight="1" x14ac:dyDescent="0.2">
      <c r="A91" s="4">
        <v>86</v>
      </c>
      <c r="B91" s="4" t="s">
        <v>198</v>
      </c>
      <c r="C91" s="20" t="s">
        <v>57</v>
      </c>
      <c r="D91" s="20" t="s">
        <v>57</v>
      </c>
      <c r="E91" s="5" t="s">
        <v>210</v>
      </c>
      <c r="F91" s="4" t="s">
        <v>25</v>
      </c>
      <c r="G91" s="4">
        <f t="shared" si="4"/>
        <v>0</v>
      </c>
      <c r="H91" s="4">
        <f t="shared" si="5"/>
        <v>2</v>
      </c>
      <c r="I91" s="17"/>
      <c r="J91">
        <f>IF(F91="No",COUNTIF($F$6:F91,"No"),"")</f>
        <v>21</v>
      </c>
    </row>
    <row r="92" spans="1:10" ht="30" customHeight="1" x14ac:dyDescent="0.2">
      <c r="A92" s="4">
        <v>87</v>
      </c>
      <c r="B92" s="4" t="s">
        <v>198</v>
      </c>
      <c r="C92" s="20" t="s">
        <v>57</v>
      </c>
      <c r="D92" s="18" t="s">
        <v>60</v>
      </c>
      <c r="E92" s="5" t="s">
        <v>211</v>
      </c>
      <c r="F92" s="4" t="s">
        <v>19</v>
      </c>
      <c r="G92" s="4">
        <f t="shared" si="4"/>
        <v>2</v>
      </c>
      <c r="H92" s="4">
        <f t="shared" si="5"/>
        <v>2</v>
      </c>
      <c r="I92" s="17"/>
      <c r="J92" t="str">
        <f>IF(F92="No",COUNTIF($F$6:F92,"No"),"")</f>
        <v/>
      </c>
    </row>
    <row r="93" spans="1:10" ht="30" customHeight="1" x14ac:dyDescent="0.2">
      <c r="A93" s="4">
        <v>88</v>
      </c>
      <c r="B93" s="4" t="s">
        <v>198</v>
      </c>
      <c r="C93" s="20" t="s">
        <v>57</v>
      </c>
      <c r="D93" s="20" t="s">
        <v>57</v>
      </c>
      <c r="E93" s="5" t="s">
        <v>212</v>
      </c>
      <c r="F93" s="4" t="s">
        <v>19</v>
      </c>
      <c r="G93" s="4">
        <f t="shared" si="4"/>
        <v>2</v>
      </c>
      <c r="H93" s="4">
        <f t="shared" si="5"/>
        <v>2</v>
      </c>
      <c r="I93" s="17"/>
      <c r="J93" t="str">
        <f>IF(F93="No",COUNTIF($F$6:F93,"No"),"")</f>
        <v/>
      </c>
    </row>
    <row r="94" spans="1:10" ht="30" customHeight="1" x14ac:dyDescent="0.2">
      <c r="A94" s="4">
        <v>89</v>
      </c>
      <c r="B94" s="4" t="s">
        <v>198</v>
      </c>
      <c r="C94" s="20" t="s">
        <v>57</v>
      </c>
      <c r="D94" s="21" t="s">
        <v>58</v>
      </c>
      <c r="E94" s="5" t="s">
        <v>213</v>
      </c>
      <c r="F94" s="4" t="s">
        <v>25</v>
      </c>
      <c r="G94" s="4">
        <f t="shared" si="4"/>
        <v>0</v>
      </c>
      <c r="H94" s="4">
        <f t="shared" si="5"/>
        <v>2</v>
      </c>
      <c r="I94" s="17"/>
      <c r="J94">
        <f>IF(F94="No",COUNTIF($F$6:F94,"No"),"")</f>
        <v>22</v>
      </c>
    </row>
    <row r="95" spans="1:10" ht="30" customHeight="1" x14ac:dyDescent="0.2">
      <c r="A95" s="4">
        <v>90</v>
      </c>
      <c r="B95" s="4" t="s">
        <v>198</v>
      </c>
      <c r="C95" s="20" t="s">
        <v>57</v>
      </c>
      <c r="D95" s="18" t="s">
        <v>60</v>
      </c>
      <c r="E95" s="5" t="s">
        <v>214</v>
      </c>
      <c r="F95" s="4" t="s">
        <v>19</v>
      </c>
      <c r="G95" s="4">
        <f t="shared" si="4"/>
        <v>2</v>
      </c>
      <c r="H95" s="4">
        <f t="shared" si="5"/>
        <v>2</v>
      </c>
      <c r="I95" s="17"/>
      <c r="J95" t="str">
        <f>IF(F95="No",COUNTIF($F$6:F95,"No"),"")</f>
        <v/>
      </c>
    </row>
    <row r="96" spans="1:10" ht="30" customHeight="1" x14ac:dyDescent="0.2">
      <c r="A96" s="4">
        <v>91</v>
      </c>
      <c r="B96" s="4" t="s">
        <v>198</v>
      </c>
      <c r="C96" s="20" t="s">
        <v>57</v>
      </c>
      <c r="D96" s="20" t="s">
        <v>57</v>
      </c>
      <c r="E96" s="5" t="s">
        <v>215</v>
      </c>
      <c r="F96" s="4" t="s">
        <v>19</v>
      </c>
      <c r="G96" s="4">
        <f t="shared" si="4"/>
        <v>2</v>
      </c>
      <c r="H96" s="4">
        <f t="shared" si="5"/>
        <v>2</v>
      </c>
      <c r="I96" s="17"/>
      <c r="J96" t="str">
        <f>IF(F96="No",COUNTIF($F$6:F96,"No"),"")</f>
        <v/>
      </c>
    </row>
    <row r="97" spans="1:10" ht="30" customHeight="1" x14ac:dyDescent="0.2">
      <c r="A97" s="4">
        <v>92</v>
      </c>
      <c r="B97" s="4" t="s">
        <v>198</v>
      </c>
      <c r="C97" s="20" t="s">
        <v>57</v>
      </c>
      <c r="D97" s="20" t="s">
        <v>57</v>
      </c>
      <c r="E97" s="5" t="s">
        <v>216</v>
      </c>
      <c r="F97" s="4" t="s">
        <v>19</v>
      </c>
      <c r="G97" s="4">
        <f t="shared" si="4"/>
        <v>2</v>
      </c>
      <c r="H97" s="4">
        <f t="shared" si="5"/>
        <v>2</v>
      </c>
      <c r="I97" s="17"/>
      <c r="J97" t="str">
        <f>IF(F97="No",COUNTIF($F$6:F97,"No"),"")</f>
        <v/>
      </c>
    </row>
    <row r="98" spans="1:10" ht="30" customHeight="1" x14ac:dyDescent="0.2">
      <c r="A98" s="4">
        <v>93</v>
      </c>
      <c r="B98" s="4" t="s">
        <v>198</v>
      </c>
      <c r="C98" s="20" t="s">
        <v>57</v>
      </c>
      <c r="D98" s="20" t="s">
        <v>57</v>
      </c>
      <c r="E98" s="5" t="s">
        <v>217</v>
      </c>
      <c r="F98" s="4" t="s">
        <v>25</v>
      </c>
      <c r="G98" s="4">
        <f t="shared" si="4"/>
        <v>0</v>
      </c>
      <c r="H98" s="4">
        <f t="shared" si="5"/>
        <v>2</v>
      </c>
      <c r="I98" s="17"/>
      <c r="J98">
        <f>IF(F98="No",COUNTIF($F$6:F98,"No"),"")</f>
        <v>23</v>
      </c>
    </row>
    <row r="99" spans="1:10" ht="30" customHeight="1" x14ac:dyDescent="0.2">
      <c r="A99" s="4">
        <v>94</v>
      </c>
      <c r="B99" s="4" t="s">
        <v>198</v>
      </c>
      <c r="C99" s="20" t="s">
        <v>57</v>
      </c>
      <c r="D99" s="20" t="s">
        <v>57</v>
      </c>
      <c r="E99" s="5" t="s">
        <v>218</v>
      </c>
      <c r="F99" s="4" t="s">
        <v>19</v>
      </c>
      <c r="G99" s="4">
        <f t="shared" si="4"/>
        <v>2</v>
      </c>
      <c r="H99" s="4">
        <f t="shared" si="5"/>
        <v>2</v>
      </c>
      <c r="I99" s="17"/>
      <c r="J99" t="str">
        <f>IF(F99="No",COUNTIF($F$6:F99,"No"),"")</f>
        <v/>
      </c>
    </row>
    <row r="100" spans="1:10" ht="30" customHeight="1" x14ac:dyDescent="0.2">
      <c r="A100" s="4">
        <v>95</v>
      </c>
      <c r="B100" s="4" t="s">
        <v>198</v>
      </c>
      <c r="C100" s="20" t="s">
        <v>57</v>
      </c>
      <c r="D100" s="18" t="s">
        <v>60</v>
      </c>
      <c r="E100" s="5" t="s">
        <v>219</v>
      </c>
      <c r="F100" s="4" t="s">
        <v>19</v>
      </c>
      <c r="G100" s="4">
        <f t="shared" si="4"/>
        <v>2</v>
      </c>
      <c r="H100" s="4">
        <f t="shared" si="5"/>
        <v>2</v>
      </c>
      <c r="I100" s="17"/>
      <c r="J100" t="str">
        <f>IF(F100="No",COUNTIF($F$6:F100,"No"),"")</f>
        <v/>
      </c>
    </row>
    <row r="101" spans="1:10" ht="30" customHeight="1" x14ac:dyDescent="0.2">
      <c r="A101" s="4">
        <v>96</v>
      </c>
      <c r="B101" s="4" t="s">
        <v>220</v>
      </c>
      <c r="C101" s="20" t="s">
        <v>57</v>
      </c>
      <c r="D101" s="20" t="s">
        <v>57</v>
      </c>
      <c r="E101" s="5" t="s">
        <v>221</v>
      </c>
      <c r="F101" s="4" t="s">
        <v>25</v>
      </c>
      <c r="G101" s="4">
        <f t="shared" si="4"/>
        <v>0</v>
      </c>
      <c r="H101" s="4">
        <f t="shared" si="5"/>
        <v>2</v>
      </c>
      <c r="I101" s="17"/>
      <c r="J101">
        <f>IF(F101="No",COUNTIF($F$6:F101,"No"),"")</f>
        <v>24</v>
      </c>
    </row>
    <row r="102" spans="1:10" ht="30" customHeight="1" x14ac:dyDescent="0.2">
      <c r="A102" s="4">
        <v>97</v>
      </c>
      <c r="B102" s="4" t="s">
        <v>220</v>
      </c>
      <c r="C102" s="20" t="s">
        <v>57</v>
      </c>
      <c r="D102" s="20" t="s">
        <v>57</v>
      </c>
      <c r="E102" s="5" t="s">
        <v>222</v>
      </c>
      <c r="F102" s="4" t="s">
        <v>25</v>
      </c>
      <c r="G102" s="4">
        <f t="shared" ref="G102:G133" si="6">IF(F102="Yes",2,IF(F102="Partial",1,IF(F102="No",0,"")))</f>
        <v>0</v>
      </c>
      <c r="H102" s="4">
        <f t="shared" ref="H102:H109" si="7">IF(F102="N/A","",IF(F102="","",2))</f>
        <v>2</v>
      </c>
      <c r="I102" s="17"/>
      <c r="J102">
        <f>IF(F102="No",COUNTIF($F$6:F102,"No"),"")</f>
        <v>25</v>
      </c>
    </row>
    <row r="103" spans="1:10" ht="30" customHeight="1" x14ac:dyDescent="0.2">
      <c r="A103" s="4">
        <v>98</v>
      </c>
      <c r="B103" s="4" t="s">
        <v>220</v>
      </c>
      <c r="C103" s="20" t="s">
        <v>57</v>
      </c>
      <c r="D103" s="20" t="s">
        <v>57</v>
      </c>
      <c r="E103" s="5" t="s">
        <v>223</v>
      </c>
      <c r="F103" s="4" t="s">
        <v>25</v>
      </c>
      <c r="G103" s="4">
        <f t="shared" si="6"/>
        <v>0</v>
      </c>
      <c r="H103" s="4">
        <f t="shared" si="7"/>
        <v>2</v>
      </c>
      <c r="I103" s="17"/>
      <c r="J103">
        <f>IF(F103="No",COUNTIF($F$6:F103,"No"),"")</f>
        <v>26</v>
      </c>
    </row>
    <row r="104" spans="1:10" ht="30" customHeight="1" x14ac:dyDescent="0.2">
      <c r="A104" s="4">
        <v>99</v>
      </c>
      <c r="B104" s="4" t="s">
        <v>220</v>
      </c>
      <c r="C104" s="20" t="s">
        <v>57</v>
      </c>
      <c r="D104" s="18" t="s">
        <v>60</v>
      </c>
      <c r="E104" s="5" t="s">
        <v>224</v>
      </c>
      <c r="F104" s="4" t="s">
        <v>19</v>
      </c>
      <c r="G104" s="4">
        <f t="shared" si="6"/>
        <v>2</v>
      </c>
      <c r="H104" s="4">
        <f t="shared" si="7"/>
        <v>2</v>
      </c>
      <c r="I104" s="17"/>
      <c r="J104" t="str">
        <f>IF(F104="No",COUNTIF($F$6:F104,"No"),"")</f>
        <v/>
      </c>
    </row>
    <row r="105" spans="1:10" ht="30" customHeight="1" x14ac:dyDescent="0.2">
      <c r="A105" s="4">
        <v>100</v>
      </c>
      <c r="B105" s="4" t="s">
        <v>225</v>
      </c>
      <c r="C105" s="21" t="s">
        <v>58</v>
      </c>
      <c r="D105" s="21" t="s">
        <v>58</v>
      </c>
      <c r="E105" s="5" t="s">
        <v>226</v>
      </c>
      <c r="F105" s="4" t="s">
        <v>19</v>
      </c>
      <c r="G105" s="4">
        <f t="shared" si="6"/>
        <v>2</v>
      </c>
      <c r="H105" s="4">
        <f t="shared" si="7"/>
        <v>2</v>
      </c>
      <c r="I105" s="17"/>
      <c r="J105" t="str">
        <f>IF(F105="No",COUNTIF($F$6:F105,"No"),"")</f>
        <v/>
      </c>
    </row>
    <row r="106" spans="1:10" ht="30" customHeight="1" x14ac:dyDescent="0.2">
      <c r="A106" s="4">
        <v>101</v>
      </c>
      <c r="B106" s="4" t="s">
        <v>225</v>
      </c>
      <c r="C106" s="21" t="s">
        <v>58</v>
      </c>
      <c r="D106" s="21" t="s">
        <v>58</v>
      </c>
      <c r="E106" s="5" t="s">
        <v>227</v>
      </c>
      <c r="F106" s="4" t="s">
        <v>19</v>
      </c>
      <c r="G106" s="4">
        <f t="shared" si="6"/>
        <v>2</v>
      </c>
      <c r="H106" s="4">
        <f t="shared" si="7"/>
        <v>2</v>
      </c>
      <c r="I106" s="17"/>
      <c r="J106" t="str">
        <f>IF(F106="No",COUNTIF($F$6:F106,"No"),"")</f>
        <v/>
      </c>
    </row>
    <row r="107" spans="1:10" ht="30" customHeight="1" x14ac:dyDescent="0.2">
      <c r="A107" s="4">
        <v>102</v>
      </c>
      <c r="B107" s="4" t="s">
        <v>225</v>
      </c>
      <c r="C107" s="21" t="s">
        <v>58</v>
      </c>
      <c r="D107" s="21" t="s">
        <v>58</v>
      </c>
      <c r="E107" s="5" t="s">
        <v>228</v>
      </c>
      <c r="F107" s="4" t="s">
        <v>25</v>
      </c>
      <c r="G107" s="4">
        <f t="shared" si="6"/>
        <v>0</v>
      </c>
      <c r="H107" s="4">
        <f t="shared" si="7"/>
        <v>2</v>
      </c>
      <c r="I107" s="17"/>
      <c r="J107">
        <f>IF(F107="No",COUNTIF($F$6:F107,"No"),"")</f>
        <v>27</v>
      </c>
    </row>
    <row r="108" spans="1:10" ht="30" customHeight="1" x14ac:dyDescent="0.2">
      <c r="A108" s="4">
        <v>103</v>
      </c>
      <c r="B108" s="4" t="s">
        <v>225</v>
      </c>
      <c r="C108" s="21" t="s">
        <v>58</v>
      </c>
      <c r="D108" s="21" t="s">
        <v>58</v>
      </c>
      <c r="E108" s="5" t="s">
        <v>229</v>
      </c>
      <c r="F108" s="4" t="s">
        <v>19</v>
      </c>
      <c r="G108" s="4">
        <f t="shared" si="6"/>
        <v>2</v>
      </c>
      <c r="H108" s="4">
        <f t="shared" si="7"/>
        <v>2</v>
      </c>
      <c r="I108" s="17"/>
      <c r="J108" t="str">
        <f>IF(F108="No",COUNTIF($F$6:F108,"No"),"")</f>
        <v/>
      </c>
    </row>
    <row r="109" spans="1:10" ht="30" customHeight="1" x14ac:dyDescent="0.2">
      <c r="A109" s="4">
        <v>104</v>
      </c>
      <c r="B109" s="4" t="s">
        <v>225</v>
      </c>
      <c r="C109" s="21" t="s">
        <v>58</v>
      </c>
      <c r="D109" s="18" t="s">
        <v>60</v>
      </c>
      <c r="E109" s="5" t="s">
        <v>230</v>
      </c>
      <c r="F109" s="4" t="s">
        <v>19</v>
      </c>
      <c r="G109" s="4">
        <f t="shared" si="6"/>
        <v>2</v>
      </c>
      <c r="H109" s="4">
        <f t="shared" si="7"/>
        <v>2</v>
      </c>
      <c r="I109" s="17"/>
      <c r="J109" t="str">
        <f>IF(F109="No",COUNTIF($F$6:F109,"No"),"")</f>
        <v/>
      </c>
    </row>
  </sheetData>
  <autoFilter ref="A5:I109" xr:uid="{00000000-0009-0000-0000-000003000000}"/>
  <mergeCells count="3">
    <mergeCell ref="A1:I1"/>
    <mergeCell ref="A3:I3"/>
    <mergeCell ref="A2:I2"/>
  </mergeCells>
  <conditionalFormatting sqref="F6:F109">
    <cfRule type="cellIs" dxfId="3" priority="1" operator="equal">
      <formula>"Yes"</formula>
    </cfRule>
    <cfRule type="cellIs" dxfId="2" priority="2" operator="equal">
      <formula>"Partial"</formula>
    </cfRule>
    <cfRule type="cellIs" dxfId="1" priority="3" operator="equal">
      <formula>"No"</formula>
    </cfRule>
    <cfRule type="cellIs" dxfId="0" priority="4" operator="equal">
      <formula>"N/A"</formula>
    </cfRule>
  </conditionalFormatting>
  <dataValidations count="1">
    <dataValidation type="list" allowBlank="1" sqref="F6 F7 F8 F9 F10 F11 F12 F13 F14 F15 F16 F17 F18 F19 F20 F21 F22 F23 F24 F25 F26 F27 F28 F29 F30 F31 F32 F33 F34 F35 F36 F37 F38 F39 F40 F41 F42 F43 F44 F45 F46 F47 F48 F49 F50 F51 F52 F53 F54 F55 F56 F57 F58 F59 F60 F61 F62 F63 F64 F65 F66 F67 F68 F69 F70 F71 F72 F73 F74 F75 F76 F77 F78 F79 F80 F81 F82 F83 F84 F85 F86 F87 F88 F89 F90 F91 F92 F93 F94 F95 F96 F97 F98 F99 F100 F101 F102 F103 F104 F105 F106 F107 F108 F109" xr:uid="{00000000-0002-0000-0300-000000000000}">
      <formula1>"Yes,Partial,No,N/A"</formula1>
    </dataValidation>
  </dataValidation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2E5A9C"/>
  </sheetPr>
  <dimension ref="A1:M14"/>
  <sheetViews>
    <sheetView showGridLines="0" workbookViewId="0">
      <pane xSplit="2" ySplit="7" topLeftCell="C8" activePane="bottomRight" state="frozen"/>
      <selection pane="topRight"/>
      <selection pane="bottomLeft"/>
      <selection pane="bottomRight" activeCell="I13" sqref="I13"/>
    </sheetView>
  </sheetViews>
  <sheetFormatPr baseColWidth="10" defaultColWidth="8.83203125" defaultRowHeight="15" x14ac:dyDescent="0.2"/>
  <cols>
    <col min="1" max="1" width="4" customWidth="1"/>
    <col min="2" max="2" width="46" customWidth="1"/>
    <col min="3" max="12" width="11" customWidth="1"/>
    <col min="13" max="13" width="12" customWidth="1"/>
  </cols>
  <sheetData>
    <row r="1" spans="1:13" ht="26" customHeight="1" x14ac:dyDescent="0.2">
      <c r="A1" s="47" t="s">
        <v>231</v>
      </c>
      <c r="B1" s="40"/>
      <c r="C1" s="40"/>
      <c r="D1" s="40"/>
      <c r="E1" s="40"/>
      <c r="F1" s="40"/>
      <c r="G1" s="40"/>
      <c r="H1" s="40"/>
      <c r="I1" s="40"/>
      <c r="J1" s="40"/>
      <c r="K1" s="40"/>
      <c r="L1" s="40"/>
      <c r="M1" s="40"/>
    </row>
    <row r="2" spans="1:13" x14ac:dyDescent="0.2">
      <c r="A2" s="46" t="s">
        <v>232</v>
      </c>
      <c r="B2" s="40"/>
      <c r="C2" s="40"/>
      <c r="D2" s="40"/>
      <c r="E2" s="40"/>
      <c r="F2" s="40"/>
      <c r="G2" s="40"/>
      <c r="H2" s="40"/>
      <c r="I2" s="40"/>
      <c r="J2" s="40"/>
      <c r="K2" s="40"/>
      <c r="L2" s="40"/>
      <c r="M2" s="40"/>
    </row>
    <row r="5" spans="1:13" ht="34" customHeight="1" x14ac:dyDescent="0.2">
      <c r="A5" s="14" t="s">
        <v>105</v>
      </c>
      <c r="B5" s="14" t="s">
        <v>233</v>
      </c>
      <c r="C5" s="14" t="s">
        <v>234</v>
      </c>
      <c r="D5" s="14" t="s">
        <v>235</v>
      </c>
      <c r="E5" s="14" t="s">
        <v>236</v>
      </c>
      <c r="F5" s="14" t="s">
        <v>237</v>
      </c>
      <c r="G5" s="14" t="s">
        <v>238</v>
      </c>
      <c r="H5" s="14" t="s">
        <v>239</v>
      </c>
      <c r="I5" s="14" t="s">
        <v>240</v>
      </c>
      <c r="J5" s="14" t="s">
        <v>241</v>
      </c>
      <c r="K5" s="14" t="s">
        <v>242</v>
      </c>
      <c r="L5" s="14" t="s">
        <v>243</v>
      </c>
      <c r="M5" s="14" t="s">
        <v>244</v>
      </c>
    </row>
    <row r="6" spans="1:13" ht="40" customHeight="1" x14ac:dyDescent="0.2">
      <c r="A6" s="4" t="s">
        <v>245</v>
      </c>
      <c r="B6" s="5" t="s">
        <v>246</v>
      </c>
      <c r="C6" s="4" t="s">
        <v>19</v>
      </c>
      <c r="D6" s="4" t="s">
        <v>19</v>
      </c>
      <c r="E6" s="4" t="s">
        <v>19</v>
      </c>
      <c r="F6" s="4" t="s">
        <v>25</v>
      </c>
      <c r="G6" s="4" t="s">
        <v>25</v>
      </c>
      <c r="H6" s="4" t="s">
        <v>19</v>
      </c>
      <c r="I6" s="4" t="s">
        <v>25</v>
      </c>
      <c r="J6" s="4"/>
      <c r="K6" s="4"/>
      <c r="L6" s="4"/>
      <c r="M6" s="22">
        <f t="shared" ref="M6:M13" si="0">IFERROR((SUMPRODUCT((C6:L6="Yes")*2)+SUMPRODUCT((C6:L6="Partial")*1))/(SUMPRODUCT((C6:L6&lt;&gt;"N/A")*(C6:L6&lt;&gt;""))*2),"")</f>
        <v>0.5714285714285714</v>
      </c>
    </row>
    <row r="7" spans="1:13" ht="40" customHeight="1" x14ac:dyDescent="0.2">
      <c r="A7" s="4" t="s">
        <v>247</v>
      </c>
      <c r="B7" s="5" t="s">
        <v>248</v>
      </c>
      <c r="C7" s="4" t="s">
        <v>25</v>
      </c>
      <c r="D7" s="4" t="s">
        <v>25</v>
      </c>
      <c r="E7" s="4" t="s">
        <v>19</v>
      </c>
      <c r="F7" s="4" t="s">
        <v>19</v>
      </c>
      <c r="G7" s="4" t="s">
        <v>25</v>
      </c>
      <c r="H7" s="4" t="s">
        <v>19</v>
      </c>
      <c r="I7" s="4" t="s">
        <v>25</v>
      </c>
      <c r="J7" s="4"/>
      <c r="K7" s="4"/>
      <c r="L7" s="4"/>
      <c r="M7" s="22">
        <f t="shared" si="0"/>
        <v>0.42857142857142855</v>
      </c>
    </row>
    <row r="8" spans="1:13" ht="40" customHeight="1" x14ac:dyDescent="0.2">
      <c r="A8" s="4" t="s">
        <v>249</v>
      </c>
      <c r="B8" s="5" t="s">
        <v>250</v>
      </c>
      <c r="C8" s="4" t="s">
        <v>25</v>
      </c>
      <c r="D8" s="4" t="s">
        <v>19</v>
      </c>
      <c r="E8" s="4" t="s">
        <v>25</v>
      </c>
      <c r="F8" s="4" t="s">
        <v>25</v>
      </c>
      <c r="G8" s="4" t="s">
        <v>25</v>
      </c>
      <c r="H8" s="4" t="s">
        <v>19</v>
      </c>
      <c r="I8" s="4" t="s">
        <v>25</v>
      </c>
      <c r="J8" s="4"/>
      <c r="K8" s="4"/>
      <c r="L8" s="4"/>
      <c r="M8" s="22">
        <f t="shared" si="0"/>
        <v>0.2857142857142857</v>
      </c>
    </row>
    <row r="9" spans="1:13" ht="40" customHeight="1" x14ac:dyDescent="0.2">
      <c r="A9" s="4" t="s">
        <v>251</v>
      </c>
      <c r="B9" s="5" t="s">
        <v>252</v>
      </c>
      <c r="C9" s="4" t="s">
        <v>19</v>
      </c>
      <c r="D9" s="4" t="s">
        <v>25</v>
      </c>
      <c r="E9" s="4" t="s">
        <v>25</v>
      </c>
      <c r="F9" s="4" t="s">
        <v>19</v>
      </c>
      <c r="G9" s="4" t="s">
        <v>25</v>
      </c>
      <c r="H9" s="4" t="s">
        <v>19</v>
      </c>
      <c r="I9" s="4" t="s">
        <v>25</v>
      </c>
      <c r="J9" s="4"/>
      <c r="K9" s="4"/>
      <c r="L9" s="4"/>
      <c r="M9" s="22">
        <f t="shared" si="0"/>
        <v>0.42857142857142855</v>
      </c>
    </row>
    <row r="10" spans="1:13" ht="40" customHeight="1" x14ac:dyDescent="0.2">
      <c r="A10" s="4" t="s">
        <v>253</v>
      </c>
      <c r="B10" s="5" t="s">
        <v>254</v>
      </c>
      <c r="C10" s="4" t="s">
        <v>25</v>
      </c>
      <c r="D10" s="4" t="s">
        <v>25</v>
      </c>
      <c r="E10" s="4" t="s">
        <v>25</v>
      </c>
      <c r="F10" s="4" t="s">
        <v>25</v>
      </c>
      <c r="G10" s="4" t="s">
        <v>25</v>
      </c>
      <c r="H10" s="4" t="s">
        <v>19</v>
      </c>
      <c r="I10" s="4" t="s">
        <v>19</v>
      </c>
      <c r="J10" s="4"/>
      <c r="K10" s="4"/>
      <c r="L10" s="4"/>
      <c r="M10" s="22">
        <f t="shared" si="0"/>
        <v>0.2857142857142857</v>
      </c>
    </row>
    <row r="11" spans="1:13" ht="40" customHeight="1" x14ac:dyDescent="0.2">
      <c r="A11" s="4" t="s">
        <v>255</v>
      </c>
      <c r="B11" s="5" t="s">
        <v>256</v>
      </c>
      <c r="C11" s="4" t="s">
        <v>19</v>
      </c>
      <c r="D11" s="4" t="s">
        <v>25</v>
      </c>
      <c r="E11" s="4" t="s">
        <v>19</v>
      </c>
      <c r="F11" s="4" t="s">
        <v>19</v>
      </c>
      <c r="G11" s="4" t="s">
        <v>25</v>
      </c>
      <c r="H11" s="4" t="s">
        <v>19</v>
      </c>
      <c r="I11" s="4" t="s">
        <v>19</v>
      </c>
      <c r="J11" s="4"/>
      <c r="K11" s="4"/>
      <c r="L11" s="4"/>
      <c r="M11" s="22">
        <f t="shared" si="0"/>
        <v>0.7142857142857143</v>
      </c>
    </row>
    <row r="12" spans="1:13" ht="40" customHeight="1" x14ac:dyDescent="0.2">
      <c r="A12" s="4" t="s">
        <v>257</v>
      </c>
      <c r="B12" s="5" t="s">
        <v>258</v>
      </c>
      <c r="C12" s="4" t="s">
        <v>25</v>
      </c>
      <c r="D12" s="4" t="s">
        <v>19</v>
      </c>
      <c r="E12" s="4" t="s">
        <v>25</v>
      </c>
      <c r="F12" s="4" t="s">
        <v>25</v>
      </c>
      <c r="G12" s="4" t="s">
        <v>25</v>
      </c>
      <c r="H12" s="4" t="s">
        <v>19</v>
      </c>
      <c r="I12" s="4" t="s">
        <v>19</v>
      </c>
      <c r="J12" s="4"/>
      <c r="K12" s="4"/>
      <c r="L12" s="4"/>
      <c r="M12" s="22">
        <f t="shared" si="0"/>
        <v>0.42857142857142855</v>
      </c>
    </row>
    <row r="13" spans="1:13" ht="40" customHeight="1" x14ac:dyDescent="0.2">
      <c r="A13" s="4" t="s">
        <v>259</v>
      </c>
      <c r="B13" s="5" t="s">
        <v>260</v>
      </c>
      <c r="C13" s="4" t="s">
        <v>19</v>
      </c>
      <c r="D13" s="4" t="s">
        <v>19</v>
      </c>
      <c r="E13" s="4" t="s">
        <v>19</v>
      </c>
      <c r="F13" s="4" t="s">
        <v>19</v>
      </c>
      <c r="G13" s="4" t="s">
        <v>28</v>
      </c>
      <c r="H13" s="4" t="s">
        <v>19</v>
      </c>
      <c r="I13" s="4" t="s">
        <v>19</v>
      </c>
      <c r="J13" s="4"/>
      <c r="K13" s="4"/>
      <c r="L13" s="4"/>
      <c r="M13" s="22">
        <f t="shared" si="0"/>
        <v>1</v>
      </c>
    </row>
    <row r="14" spans="1:13" ht="20" customHeight="1" x14ac:dyDescent="0.2">
      <c r="A14" s="23"/>
      <c r="B14" s="24" t="s">
        <v>261</v>
      </c>
      <c r="C14" s="25">
        <f t="shared" ref="C14:L14" si="1">IFERROR((SUMPRODUCT((C6:C13="Yes")*2)+SUMPRODUCT((C6:C13="Partial")*1))/(SUMPRODUCT((C6:C13&lt;&gt;"N/A")*(C6:C13&lt;&gt;""))*2),"")</f>
        <v>0.5</v>
      </c>
      <c r="D14" s="25">
        <f t="shared" si="1"/>
        <v>0.5</v>
      </c>
      <c r="E14" s="25">
        <f t="shared" si="1"/>
        <v>0.5</v>
      </c>
      <c r="F14" s="25">
        <f t="shared" si="1"/>
        <v>0.5</v>
      </c>
      <c r="G14" s="25">
        <f t="shared" si="1"/>
        <v>0</v>
      </c>
      <c r="H14" s="25">
        <f t="shared" si="1"/>
        <v>1</v>
      </c>
      <c r="I14" s="25">
        <f t="shared" si="1"/>
        <v>0.5</v>
      </c>
      <c r="J14" s="25" t="str">
        <f t="shared" si="1"/>
        <v/>
      </c>
      <c r="K14" s="25" t="str">
        <f t="shared" si="1"/>
        <v/>
      </c>
      <c r="L14" s="25" t="str">
        <f t="shared" si="1"/>
        <v/>
      </c>
      <c r="M14" s="26">
        <f>IFERROR((SUMPRODUCT((C6:L13="Yes")*2)+SUMPRODUCT((C6:L13="Partial")*1))/(SUMPRODUCT((C6:L13&lt;&gt;"N/A")*(C6:L13&lt;&gt;""))*2),"")</f>
        <v>0.50909090909090904</v>
      </c>
    </row>
  </sheetData>
  <mergeCells count="2">
    <mergeCell ref="A2:M2"/>
    <mergeCell ref="A1:M1"/>
  </mergeCells>
  <conditionalFormatting sqref="C14:L14">
    <cfRule type="colorScale" priority="2">
      <colorScale>
        <cfvo type="min"/>
        <cfvo type="percentile" val="50"/>
        <cfvo type="max"/>
        <color rgb="FFF8CBAD"/>
        <color rgb="FFFFE699"/>
        <color rgb="FFC6E0B4"/>
      </colorScale>
    </cfRule>
  </conditionalFormatting>
  <conditionalFormatting sqref="M6:M13">
    <cfRule type="colorScale" priority="1">
      <colorScale>
        <cfvo type="min"/>
        <cfvo type="percentile" val="50"/>
        <cfvo type="max"/>
        <color rgb="FFF8CBAD"/>
        <color rgb="FFFFE699"/>
        <color rgb="FFC6E0B4"/>
      </colorScale>
    </cfRule>
  </conditionalFormatting>
  <dataValidations count="1">
    <dataValidation type="list" allowBlank="1" sqref="C6 C7 C8 C9 C10 C11 C12 C13 D6 D7 D8 D9 D10 D11 D12 D13 E6 E7 E8 E9 E10 E11 E12 E13 F6 F7 F8 F9 F10 F11 F12 F13 G6 G7 G8 G9 G10 G11 G12 G13 H6 H7 H8 H9 H10 H11 H12 H13 I6 I7 I8 I9 I10 I11 I12 I13 J6 J7 J8 J9 J10 J11 J12 J13 K6 K7 K8 K9 K10 K11 K12 K13 L6 L7 L8 L9 L10 L11 L12 L13" xr:uid="{00000000-0002-0000-0400-000000000000}">
      <formula1>"Yes,Partial,No,N/A"</formula1>
    </dataValidation>
  </dataValidation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2E5A9C"/>
  </sheetPr>
  <dimension ref="A1:K17"/>
  <sheetViews>
    <sheetView showGridLines="0" workbookViewId="0">
      <selection sqref="A1:J1"/>
    </sheetView>
  </sheetViews>
  <sheetFormatPr baseColWidth="10" defaultColWidth="8.83203125" defaultRowHeight="15" x14ac:dyDescent="0.2"/>
  <cols>
    <col min="1" max="1" width="3" customWidth="1"/>
    <col min="2" max="2" width="14" customWidth="1"/>
    <col min="3" max="3" width="22" customWidth="1"/>
    <col min="4" max="4" width="12" customWidth="1"/>
    <col min="5" max="5" width="16" customWidth="1"/>
    <col min="6" max="9" width="12" customWidth="1"/>
    <col min="10" max="10" width="18" customWidth="1"/>
    <col min="11" max="11" width="30" customWidth="1"/>
  </cols>
  <sheetData>
    <row r="1" spans="1:11" ht="26" customHeight="1" x14ac:dyDescent="0.2">
      <c r="A1" s="47" t="s">
        <v>262</v>
      </c>
      <c r="B1" s="40"/>
      <c r="C1" s="40"/>
      <c r="D1" s="40"/>
      <c r="E1" s="40"/>
      <c r="F1" s="40"/>
      <c r="G1" s="40"/>
      <c r="H1" s="40"/>
      <c r="I1" s="40"/>
      <c r="J1" s="40"/>
    </row>
    <row r="2" spans="1:11" ht="40" customHeight="1" x14ac:dyDescent="0.2">
      <c r="B2" s="46" t="s">
        <v>263</v>
      </c>
      <c r="C2" s="40"/>
      <c r="D2" s="40"/>
      <c r="E2" s="40"/>
      <c r="F2" s="40"/>
      <c r="G2" s="40"/>
      <c r="H2" s="40"/>
      <c r="I2" s="40"/>
      <c r="J2" s="40"/>
      <c r="K2" s="40"/>
    </row>
    <row r="4" spans="1:11" ht="30" customHeight="1" x14ac:dyDescent="0.2">
      <c r="B4" s="14" t="s">
        <v>264</v>
      </c>
      <c r="C4" s="14" t="s">
        <v>265</v>
      </c>
      <c r="D4" s="14" t="s">
        <v>266</v>
      </c>
      <c r="E4" s="14" t="s">
        <v>267</v>
      </c>
      <c r="F4" s="14" t="s">
        <v>268</v>
      </c>
      <c r="G4" s="14" t="s">
        <v>269</v>
      </c>
      <c r="H4" s="14" t="s">
        <v>270</v>
      </c>
      <c r="I4" s="14" t="s">
        <v>271</v>
      </c>
      <c r="J4" s="14" t="s">
        <v>272</v>
      </c>
      <c r="K4" s="14" t="s">
        <v>273</v>
      </c>
    </row>
    <row r="5" spans="1:11" ht="18" customHeight="1" x14ac:dyDescent="0.2">
      <c r="B5" s="34">
        <f>AssessmentDate</f>
        <v>374958</v>
      </c>
      <c r="C5" s="33" t="str">
        <f>InstitutionName&amp;" (current)"</f>
        <v>Acme Bank (current)</v>
      </c>
      <c r="D5" s="35">
        <f>_Calc!E12</f>
        <v>0.5941558441558441</v>
      </c>
      <c r="E5" s="35">
        <f>_Calc!E2</f>
        <v>0.5854700854700855</v>
      </c>
      <c r="F5" s="35">
        <f>_Calc!E3</f>
        <v>0.5</v>
      </c>
      <c r="G5" s="35">
        <f>_Calc!E4</f>
        <v>0.61538461538461542</v>
      </c>
      <c r="H5" s="35">
        <f>_Calc!E5</f>
        <v>0.8</v>
      </c>
      <c r="I5" s="35">
        <f>_Calc!E6</f>
        <v>0.75862068965517238</v>
      </c>
      <c r="J5" s="33">
        <f>_Calc!E14</f>
        <v>0.50909090909090904</v>
      </c>
      <c r="K5" s="36" t="s">
        <v>274</v>
      </c>
    </row>
    <row r="6" spans="1:11" x14ac:dyDescent="0.2">
      <c r="B6" s="37"/>
      <c r="C6" s="23"/>
      <c r="D6" s="38"/>
      <c r="E6" s="38"/>
      <c r="F6" s="38"/>
      <c r="G6" s="38"/>
      <c r="H6" s="38"/>
      <c r="I6" s="38"/>
      <c r="J6" s="23"/>
      <c r="K6" s="23"/>
    </row>
    <row r="7" spans="1:11" x14ac:dyDescent="0.2">
      <c r="B7" s="37"/>
      <c r="C7" s="23"/>
      <c r="D7" s="38"/>
      <c r="E7" s="38"/>
      <c r="F7" s="38"/>
      <c r="G7" s="38"/>
      <c r="H7" s="38"/>
      <c r="I7" s="38"/>
      <c r="J7" s="23"/>
      <c r="K7" s="23"/>
    </row>
    <row r="8" spans="1:11" x14ac:dyDescent="0.2">
      <c r="B8" s="37"/>
      <c r="C8" s="23"/>
      <c r="D8" s="38"/>
      <c r="E8" s="38"/>
      <c r="F8" s="38"/>
      <c r="G8" s="38"/>
      <c r="H8" s="38"/>
      <c r="I8" s="38"/>
      <c r="J8" s="23"/>
      <c r="K8" s="23"/>
    </row>
    <row r="9" spans="1:11" x14ac:dyDescent="0.2">
      <c r="B9" s="37"/>
      <c r="C9" s="23"/>
      <c r="D9" s="38"/>
      <c r="E9" s="38"/>
      <c r="F9" s="38"/>
      <c r="G9" s="38"/>
      <c r="H9" s="38"/>
      <c r="I9" s="38"/>
      <c r="J9" s="23"/>
      <c r="K9" s="23"/>
    </row>
    <row r="10" spans="1:11" x14ac:dyDescent="0.2">
      <c r="B10" s="37"/>
      <c r="C10" s="23"/>
      <c r="D10" s="38"/>
      <c r="E10" s="38"/>
      <c r="F10" s="38"/>
      <c r="G10" s="38"/>
      <c r="H10" s="38"/>
      <c r="I10" s="38"/>
      <c r="J10" s="23"/>
      <c r="K10" s="23"/>
    </row>
    <row r="11" spans="1:11" x14ac:dyDescent="0.2">
      <c r="B11" s="37"/>
      <c r="C11" s="23"/>
      <c r="D11" s="38"/>
      <c r="E11" s="38"/>
      <c r="F11" s="38"/>
      <c r="G11" s="38"/>
      <c r="H11" s="38"/>
      <c r="I11" s="38"/>
      <c r="J11" s="23"/>
      <c r="K11" s="23"/>
    </row>
    <row r="12" spans="1:11" x14ac:dyDescent="0.2">
      <c r="B12" s="37"/>
      <c r="C12" s="23"/>
      <c r="D12" s="38"/>
      <c r="E12" s="38"/>
      <c r="F12" s="38"/>
      <c r="G12" s="38"/>
      <c r="H12" s="38"/>
      <c r="I12" s="38"/>
      <c r="J12" s="23"/>
      <c r="K12" s="23"/>
    </row>
    <row r="13" spans="1:11" x14ac:dyDescent="0.2">
      <c r="B13" s="37"/>
      <c r="C13" s="23"/>
      <c r="D13" s="38"/>
      <c r="E13" s="38"/>
      <c r="F13" s="38"/>
      <c r="G13" s="38"/>
      <c r="H13" s="38"/>
      <c r="I13" s="38"/>
      <c r="J13" s="23"/>
      <c r="K13" s="23"/>
    </row>
    <row r="14" spans="1:11" x14ac:dyDescent="0.2">
      <c r="B14" s="37"/>
      <c r="C14" s="23"/>
      <c r="D14" s="38"/>
      <c r="E14" s="38"/>
      <c r="F14" s="38"/>
      <c r="G14" s="38"/>
      <c r="H14" s="38"/>
      <c r="I14" s="38"/>
      <c r="J14" s="23"/>
      <c r="K14" s="23"/>
    </row>
    <row r="15" spans="1:11" x14ac:dyDescent="0.2">
      <c r="B15" s="37"/>
      <c r="C15" s="23"/>
      <c r="D15" s="38"/>
      <c r="E15" s="38"/>
      <c r="F15" s="38"/>
      <c r="G15" s="38"/>
      <c r="H15" s="38"/>
      <c r="I15" s="38"/>
      <c r="J15" s="23"/>
      <c r="K15" s="23"/>
    </row>
    <row r="16" spans="1:11" x14ac:dyDescent="0.2">
      <c r="B16" s="37"/>
      <c r="C16" s="23"/>
      <c r="D16" s="38"/>
      <c r="E16" s="38"/>
      <c r="F16" s="38"/>
      <c r="G16" s="38"/>
      <c r="H16" s="38"/>
      <c r="I16" s="38"/>
      <c r="J16" s="23"/>
      <c r="K16" s="23"/>
    </row>
    <row r="17" spans="2:11" x14ac:dyDescent="0.2">
      <c r="B17" s="37"/>
      <c r="C17" s="23"/>
      <c r="D17" s="38"/>
      <c r="E17" s="38"/>
      <c r="F17" s="38"/>
      <c r="G17" s="38"/>
      <c r="H17" s="38"/>
      <c r="I17" s="38"/>
      <c r="J17" s="23"/>
      <c r="K17" s="23"/>
    </row>
  </sheetData>
  <mergeCells count="2">
    <mergeCell ref="A1:J1"/>
    <mergeCell ref="B2:K2"/>
  </mergeCells>
  <pageMargins left="0.75" right="0.75" top="1" bottom="1" header="0.5" footer="0.5"/>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5"/>
  <sheetViews>
    <sheetView workbookViewId="0"/>
  </sheetViews>
  <sheetFormatPr baseColWidth="10" defaultColWidth="8.83203125" defaultRowHeight="15" x14ac:dyDescent="0.2"/>
  <sheetData>
    <row r="1" spans="1:9" x14ac:dyDescent="0.2">
      <c r="A1" t="s">
        <v>275</v>
      </c>
      <c r="B1" t="s">
        <v>276</v>
      </c>
      <c r="C1" t="s">
        <v>17</v>
      </c>
      <c r="D1" t="s">
        <v>107</v>
      </c>
      <c r="E1" t="s">
        <v>277</v>
      </c>
      <c r="F1" t="s">
        <v>19</v>
      </c>
      <c r="G1" t="s">
        <v>22</v>
      </c>
      <c r="H1" t="s">
        <v>25</v>
      </c>
      <c r="I1" t="s">
        <v>278</v>
      </c>
    </row>
    <row r="2" spans="1:9" x14ac:dyDescent="0.2">
      <c r="A2" t="s">
        <v>279</v>
      </c>
      <c r="B2" t="s">
        <v>55</v>
      </c>
      <c r="C2">
        <f>((SUMPRODUCT(('Backup Controls Matrix'!C6:L13="Yes")*2)+SUMPRODUCT(('Backup Controls Matrix'!C6:L13="Partial")*1)))+SUMIFS(Assessment!$G$6:$G$109,Assessment!$C$6:$C$109,"Identify/Protect")</f>
        <v>137</v>
      </c>
      <c r="D2">
        <f>((SUMPRODUCT(('Backup Controls Matrix'!C6:L13&lt;&gt;"N/A")*('Backup Controls Matrix'!C6:L13&lt;&gt;""))*2))+SUMIFS(Assessment!$H$6:$H$109,Assessment!$C$6:$C$109,"Identify/Protect")</f>
        <v>234</v>
      </c>
      <c r="E2">
        <f t="shared" ref="E2:E14" si="0">IFERROR(C2/D2,0)</f>
        <v>0.5854700854700855</v>
      </c>
      <c r="F2">
        <f>COUNTIFS(Assessment!$C$6:$C$109,"Identify/Protect",Assessment!$F$6:$F$109,"Yes")</f>
        <v>33</v>
      </c>
      <c r="G2">
        <f>COUNTIFS(Assessment!$C$6:$C$109,"Identify/Protect",Assessment!$F$6:$F$109,"Partial")</f>
        <v>15</v>
      </c>
      <c r="H2">
        <f>COUNTIFS(Assessment!$C$6:$C$109,"Identify/Protect",Assessment!$F$6:$F$109,"No")</f>
        <v>14</v>
      </c>
      <c r="I2">
        <f>COUNTIFS(Assessment!$C$6:$C$109,"Identify/Protect",Assessment!$F$6:$F$109,"N/A")</f>
        <v>5</v>
      </c>
    </row>
    <row r="3" spans="1:9" x14ac:dyDescent="0.2">
      <c r="A3" t="s">
        <v>279</v>
      </c>
      <c r="B3" t="s">
        <v>56</v>
      </c>
      <c r="C3">
        <f>SUMIFS(Assessment!$G$6:$G$109,Assessment!$C$6:$C$109,"Detect")</f>
        <v>6</v>
      </c>
      <c r="D3">
        <f>SUMIFS(Assessment!$H$6:$H$109,Assessment!$C$6:$C$109,"Detect")</f>
        <v>12</v>
      </c>
      <c r="E3">
        <f t="shared" si="0"/>
        <v>0.5</v>
      </c>
      <c r="F3">
        <f>COUNTIFS(Assessment!$C$6:$C$109,"Detect",Assessment!$F$6:$F$109,"Yes")</f>
        <v>2</v>
      </c>
      <c r="G3">
        <f>COUNTIFS(Assessment!$C$6:$C$109,"Detect",Assessment!$F$6:$F$109,"Partial")</f>
        <v>2</v>
      </c>
      <c r="H3">
        <f>COUNTIFS(Assessment!$C$6:$C$109,"Detect",Assessment!$F$6:$F$109,"No")</f>
        <v>2</v>
      </c>
      <c r="I3">
        <f>COUNTIFS(Assessment!$C$6:$C$109,"Detect",Assessment!$F$6:$F$109,"N/A")</f>
        <v>0</v>
      </c>
    </row>
    <row r="4" spans="1:9" x14ac:dyDescent="0.2">
      <c r="A4" t="s">
        <v>279</v>
      </c>
      <c r="B4" t="s">
        <v>57</v>
      </c>
      <c r="C4">
        <f>SUMIFS(Assessment!$G$6:$G$109,Assessment!$C$6:$C$109,"Respond")</f>
        <v>32</v>
      </c>
      <c r="D4">
        <f>SUMIFS(Assessment!$H$6:$H$109,Assessment!$C$6:$C$109,"Respond")</f>
        <v>52</v>
      </c>
      <c r="E4">
        <f t="shared" si="0"/>
        <v>0.61538461538461542</v>
      </c>
      <c r="F4">
        <f>COUNTIFS(Assessment!$C$6:$C$109,"Respond",Assessment!$F$6:$F$109,"Yes")</f>
        <v>16</v>
      </c>
      <c r="G4">
        <f>COUNTIFS(Assessment!$C$6:$C$109,"Respond",Assessment!$F$6:$F$109,"Partial")</f>
        <v>0</v>
      </c>
      <c r="H4">
        <f>COUNTIFS(Assessment!$C$6:$C$109,"Respond",Assessment!$F$6:$F$109,"No")</f>
        <v>10</v>
      </c>
      <c r="I4">
        <f>COUNTIFS(Assessment!$C$6:$C$109,"Respond",Assessment!$F$6:$F$109,"N/A")</f>
        <v>0</v>
      </c>
    </row>
    <row r="5" spans="1:9" x14ac:dyDescent="0.2">
      <c r="A5" t="s">
        <v>279</v>
      </c>
      <c r="B5" t="s">
        <v>58</v>
      </c>
      <c r="C5">
        <f>SUMIFS(Assessment!$G$6:$G$109,Assessment!$C$6:$C$109,"Recover")</f>
        <v>8</v>
      </c>
      <c r="D5">
        <f>SUMIFS(Assessment!$H$6:$H$109,Assessment!$C$6:$C$109,"Recover")</f>
        <v>10</v>
      </c>
      <c r="E5">
        <f t="shared" si="0"/>
        <v>0.8</v>
      </c>
      <c r="F5">
        <f>COUNTIFS(Assessment!$C$6:$C$109,"Recover",Assessment!$F$6:$F$109,"Yes")</f>
        <v>4</v>
      </c>
      <c r="G5">
        <f>COUNTIFS(Assessment!$C$6:$C$109,"Recover",Assessment!$F$6:$F$109,"Partial")</f>
        <v>0</v>
      </c>
      <c r="H5">
        <f>COUNTIFS(Assessment!$C$6:$C$109,"Recover",Assessment!$F$6:$F$109,"No")</f>
        <v>1</v>
      </c>
      <c r="I5">
        <f>COUNTIFS(Assessment!$C$6:$C$109,"Recover",Assessment!$F$6:$F$109,"N/A")</f>
        <v>0</v>
      </c>
    </row>
    <row r="6" spans="1:9" x14ac:dyDescent="0.2">
      <c r="A6" t="s">
        <v>280</v>
      </c>
      <c r="B6" t="s">
        <v>60</v>
      </c>
      <c r="C6">
        <f>SUMIFS(Assessment!$G$6:$G$109,Assessment!$D$6:$D$109,"Govern")</f>
        <v>44</v>
      </c>
      <c r="D6">
        <f>SUMIFS(Assessment!$H$6:$H$109,Assessment!$D$6:$D$109,"Govern")</f>
        <v>58</v>
      </c>
      <c r="E6">
        <f t="shared" si="0"/>
        <v>0.75862068965517238</v>
      </c>
      <c r="F6">
        <f>COUNTIFS(Assessment!$D$6:$D$109,"Govern",Assessment!$F$6:$F$109,"Yes")</f>
        <v>19</v>
      </c>
      <c r="G6">
        <f>COUNTIFS(Assessment!$D$6:$D$109,"Govern",Assessment!$F$6:$F$109,"Partial")</f>
        <v>6</v>
      </c>
      <c r="H6">
        <f>COUNTIFS(Assessment!$D$6:$D$109,"Govern",Assessment!$F$6:$F$109,"No")</f>
        <v>4</v>
      </c>
      <c r="I6">
        <f>COUNTIFS(Assessment!$D$6:$D$109,"Govern",Assessment!$F$6:$F$109,"N/A")</f>
        <v>5</v>
      </c>
    </row>
    <row r="7" spans="1:9" x14ac:dyDescent="0.2">
      <c r="A7" t="s">
        <v>280</v>
      </c>
      <c r="B7" t="s">
        <v>61</v>
      </c>
      <c r="C7">
        <f>SUMIFS(Assessment!$G$6:$G$109,Assessment!$D$6:$D$109,"Identify")</f>
        <v>4</v>
      </c>
      <c r="D7">
        <f>SUMIFS(Assessment!$H$6:$H$109,Assessment!$D$6:$D$109,"Identify")</f>
        <v>6</v>
      </c>
      <c r="E7">
        <f t="shared" si="0"/>
        <v>0.66666666666666663</v>
      </c>
      <c r="F7">
        <f>COUNTIFS(Assessment!$D$6:$D$109,"Identify",Assessment!$F$6:$F$109,"Yes")</f>
        <v>2</v>
      </c>
      <c r="G7">
        <f>COUNTIFS(Assessment!$D$6:$D$109,"Identify",Assessment!$F$6:$F$109,"Partial")</f>
        <v>0</v>
      </c>
      <c r="H7">
        <f>COUNTIFS(Assessment!$D$6:$D$109,"Identify",Assessment!$F$6:$F$109,"No")</f>
        <v>1</v>
      </c>
      <c r="I7">
        <f>COUNTIFS(Assessment!$D$6:$D$109,"Identify",Assessment!$F$6:$F$109,"N/A")</f>
        <v>0</v>
      </c>
    </row>
    <row r="8" spans="1:9" x14ac:dyDescent="0.2">
      <c r="A8" t="s">
        <v>280</v>
      </c>
      <c r="B8" t="s">
        <v>62</v>
      </c>
      <c r="C8">
        <f>((SUMPRODUCT(('Backup Controls Matrix'!C6:L10="Yes")*2)+SUMPRODUCT(('Backup Controls Matrix'!C6:L10="Partial")*1)))+SUMIFS(Assessment!$G$6:$G$109,Assessment!$D$6:$D$109,"Protect")</f>
        <v>67</v>
      </c>
      <c r="D8">
        <f>((SUMPRODUCT(('Backup Controls Matrix'!C6:L10&lt;&gt;"N/A")*('Backup Controls Matrix'!C6:L10&lt;&gt;""))*2))+SUMIFS(Assessment!$H$6:$H$109,Assessment!$D$6:$D$109,"Protect")</f>
        <v>136</v>
      </c>
      <c r="E8">
        <f t="shared" si="0"/>
        <v>0.49264705882352944</v>
      </c>
      <c r="F8">
        <f>COUNTIFS(Assessment!$D$6:$D$109,"Protect",Assessment!$F$6:$F$109,"Yes")</f>
        <v>15</v>
      </c>
      <c r="G8">
        <f>COUNTIFS(Assessment!$D$6:$D$109,"Protect",Assessment!$F$6:$F$109,"Partial")</f>
        <v>9</v>
      </c>
      <c r="H8">
        <f>COUNTIFS(Assessment!$D$6:$D$109,"Protect",Assessment!$F$6:$F$109,"No")</f>
        <v>9</v>
      </c>
      <c r="I8">
        <f>COUNTIFS(Assessment!$D$6:$D$109,"Protect",Assessment!$F$6:$F$109,"N/A")</f>
        <v>0</v>
      </c>
    </row>
    <row r="9" spans="1:9" x14ac:dyDescent="0.2">
      <c r="A9" t="s">
        <v>280</v>
      </c>
      <c r="B9" t="s">
        <v>56</v>
      </c>
      <c r="C9">
        <f>SUMIFS(Assessment!$G$6:$G$109,Assessment!$D$6:$D$109,"Detect")</f>
        <v>8</v>
      </c>
      <c r="D9">
        <f>SUMIFS(Assessment!$H$6:$H$109,Assessment!$D$6:$D$109,"Detect")</f>
        <v>14</v>
      </c>
      <c r="E9">
        <f t="shared" si="0"/>
        <v>0.5714285714285714</v>
      </c>
      <c r="F9">
        <f>COUNTIFS(Assessment!$D$6:$D$109,"Detect",Assessment!$F$6:$F$109,"Yes")</f>
        <v>3</v>
      </c>
      <c r="G9">
        <f>COUNTIFS(Assessment!$D$6:$D$109,"Detect",Assessment!$F$6:$F$109,"Partial")</f>
        <v>2</v>
      </c>
      <c r="H9">
        <f>COUNTIFS(Assessment!$D$6:$D$109,"Detect",Assessment!$F$6:$F$109,"No")</f>
        <v>2</v>
      </c>
      <c r="I9">
        <f>COUNTIFS(Assessment!$D$6:$D$109,"Detect",Assessment!$F$6:$F$109,"N/A")</f>
        <v>0</v>
      </c>
    </row>
    <row r="10" spans="1:9" x14ac:dyDescent="0.2">
      <c r="A10" t="s">
        <v>280</v>
      </c>
      <c r="B10" t="s">
        <v>57</v>
      </c>
      <c r="C10">
        <f>SUMIFS(Assessment!$G$6:$G$109,Assessment!$D$6:$D$109,"Respond")</f>
        <v>26</v>
      </c>
      <c r="D10">
        <f>SUMIFS(Assessment!$H$6:$H$109,Assessment!$D$6:$D$109,"Respond")</f>
        <v>44</v>
      </c>
      <c r="E10">
        <f t="shared" si="0"/>
        <v>0.59090909090909094</v>
      </c>
      <c r="F10">
        <f>COUNTIFS(Assessment!$D$6:$D$109,"Respond",Assessment!$F$6:$F$109,"Yes")</f>
        <v>13</v>
      </c>
      <c r="G10">
        <f>COUNTIFS(Assessment!$D$6:$D$109,"Respond",Assessment!$F$6:$F$109,"Partial")</f>
        <v>0</v>
      </c>
      <c r="H10">
        <f>COUNTIFS(Assessment!$D$6:$D$109,"Respond",Assessment!$F$6:$F$109,"No")</f>
        <v>9</v>
      </c>
      <c r="I10">
        <f>COUNTIFS(Assessment!$D$6:$D$109,"Respond",Assessment!$F$6:$F$109,"N/A")</f>
        <v>0</v>
      </c>
    </row>
    <row r="11" spans="1:9" x14ac:dyDescent="0.2">
      <c r="A11" t="s">
        <v>280</v>
      </c>
      <c r="B11" t="s">
        <v>58</v>
      </c>
      <c r="C11">
        <f>((SUMPRODUCT(('Backup Controls Matrix'!C11:L13="Yes")*2)+SUMPRODUCT(('Backup Controls Matrix'!C11:L13="Partial")*1)))+SUMIFS(Assessment!$G$6:$G$109,Assessment!$D$6:$D$109,"Recover")</f>
        <v>34</v>
      </c>
      <c r="D11">
        <f>((SUMPRODUCT(('Backup Controls Matrix'!C11:L13&lt;&gt;"N/A")*('Backup Controls Matrix'!C11:L13&lt;&gt;""))*2))+SUMIFS(Assessment!$H$6:$H$109,Assessment!$D$6:$D$109,"Recover")</f>
        <v>50</v>
      </c>
      <c r="E11">
        <f t="shared" si="0"/>
        <v>0.68</v>
      </c>
      <c r="F11">
        <f>COUNTIFS(Assessment!$D$6:$D$109,"Recover",Assessment!$F$6:$F$109,"Yes")</f>
        <v>3</v>
      </c>
      <c r="G11">
        <f>COUNTIFS(Assessment!$D$6:$D$109,"Recover",Assessment!$F$6:$F$109,"Partial")</f>
        <v>0</v>
      </c>
      <c r="H11">
        <f>COUNTIFS(Assessment!$D$6:$D$109,"Recover",Assessment!$F$6:$F$109,"No")</f>
        <v>2</v>
      </c>
      <c r="I11">
        <f>COUNTIFS(Assessment!$D$6:$D$109,"Recover",Assessment!$F$6:$F$109,"N/A")</f>
        <v>0</v>
      </c>
    </row>
    <row r="12" spans="1:9" x14ac:dyDescent="0.2">
      <c r="A12" t="s">
        <v>281</v>
      </c>
      <c r="B12" t="s">
        <v>282</v>
      </c>
      <c r="C12">
        <f>SUM(Assessment!$G$6:$G$109)+((SUMPRODUCT(('Backup Controls Matrix'!C6:L13="Yes")*2)+SUMPRODUCT(('Backup Controls Matrix'!C6:L13="Partial")*1)))</f>
        <v>183</v>
      </c>
      <c r="D12">
        <f>SUM(Assessment!$H$6:$H$109)+((SUMPRODUCT(('Backup Controls Matrix'!C6:L13&lt;&gt;"N/A")*('Backup Controls Matrix'!C6:L13&lt;&gt;""))*2))</f>
        <v>308</v>
      </c>
      <c r="E12">
        <f t="shared" si="0"/>
        <v>0.5941558441558441</v>
      </c>
    </row>
    <row r="13" spans="1:9" x14ac:dyDescent="0.2">
      <c r="A13" t="s">
        <v>283</v>
      </c>
      <c r="B13" t="s">
        <v>284</v>
      </c>
      <c r="C13">
        <f>SUM(Assessment!$G$6:$G$109)</f>
        <v>127</v>
      </c>
      <c r="D13">
        <f>SUM(Assessment!$H$6:$H$109)</f>
        <v>198</v>
      </c>
      <c r="E13">
        <f t="shared" si="0"/>
        <v>0.64141414141414144</v>
      </c>
    </row>
    <row r="14" spans="1:9" x14ac:dyDescent="0.2">
      <c r="A14" t="s">
        <v>285</v>
      </c>
      <c r="B14" t="s">
        <v>286</v>
      </c>
      <c r="C14">
        <f>((SUMPRODUCT(('Backup Controls Matrix'!C6:L13="Yes")*2)+SUMPRODUCT(('Backup Controls Matrix'!C6:L13="Partial")*1)))</f>
        <v>56</v>
      </c>
      <c r="D14">
        <f>((SUMPRODUCT(('Backup Controls Matrix'!C6:L13&lt;&gt;"N/A")*('Backup Controls Matrix'!C6:L13&lt;&gt;""))*2))</f>
        <v>110</v>
      </c>
      <c r="E14">
        <f t="shared" si="0"/>
        <v>0.50909090909090904</v>
      </c>
    </row>
    <row r="15" spans="1:9" x14ac:dyDescent="0.2">
      <c r="A15" t="s">
        <v>287</v>
      </c>
      <c r="B15" t="s">
        <v>288</v>
      </c>
      <c r="C15">
        <f>COUNTA(Assessment!$F$6:$F$109)</f>
        <v>104</v>
      </c>
      <c r="D15">
        <v>104</v>
      </c>
      <c r="E15">
        <f>C15/D15</f>
        <v>1</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Instructions</vt:lpstr>
      <vt:lpstr>Dashboard</vt:lpstr>
      <vt:lpstr>Cover &amp; Scope</vt:lpstr>
      <vt:lpstr>Assessment</vt:lpstr>
      <vt:lpstr>Backup Controls Matrix</vt:lpstr>
      <vt:lpstr>Score History</vt:lpstr>
      <vt:lpstr>_Calc</vt:lpstr>
      <vt:lpstr>AssessmentDate</vt:lpstr>
      <vt:lpstr>InstitutionName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Jim McConnell</cp:lastModifiedBy>
  <dcterms:created xsi:type="dcterms:W3CDTF">2026-08-06T20:55:26Z</dcterms:created>
  <dcterms:modified xsi:type="dcterms:W3CDTF">2026-08-06T21:06:33Z</dcterms:modified>
</cp:coreProperties>
</file>